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Ex1.xml" ContentType="application/vnd.ms-office.chartex+xml"/>
  <Override PartName="/xl/charts/style2.xml" ContentType="application/vnd.ms-office.chartstyle+xml"/>
  <Override PartName="/xl/charts/colors2.xml" ContentType="application/vnd.ms-office.chartcolorstyle+xml"/>
  <Override PartName="/xl/charts/chart2.xml" ContentType="application/vnd.openxmlformats-officedocument.drawingml.chart+xml"/>
  <Override PartName="/xl/charts/style3.xml" ContentType="application/vnd.ms-office.chartstyle+xml"/>
  <Override PartName="/xl/charts/colors3.xml" ContentType="application/vnd.ms-office.chartcolorstyle+xml"/>
  <Override PartName="/xl/charts/chart3.xml" ContentType="application/vnd.openxmlformats-officedocument.drawingml.chart+xml"/>
  <Override PartName="/xl/charts/style4.xml" ContentType="application/vnd.ms-office.chartstyle+xml"/>
  <Override PartName="/xl/charts/colors4.xml" ContentType="application/vnd.ms-office.chartcolorstyle+xml"/>
  <Override PartName="/xl/charts/chart4.xml" ContentType="application/vnd.openxmlformats-officedocument.drawingml.chart+xml"/>
  <Override PartName="/xl/charts/style5.xml" ContentType="application/vnd.ms-office.chartstyle+xml"/>
  <Override PartName="/xl/charts/colors5.xml" ContentType="application/vnd.ms-office.chartcolorstyle+xml"/>
  <Override PartName="/xl/charts/chart5.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oakbridgefinance-my.sharepoint.com/personal/chris_oakbridgefinance_com/Documents/Documents/OakBridge Finance/01. Admin/Claude/Website/"/>
    </mc:Choice>
  </mc:AlternateContent>
  <xr:revisionPtr revIDLastSave="7350" documentId="8_{FFD8862E-F1D2-491B-A491-A8FD9661AD69}" xr6:coauthVersionLast="47" xr6:coauthVersionMax="47" xr10:uidLastSave="{2E24F364-F58E-41D6-B3EF-CDCFFC9E7353}"/>
  <bookViews>
    <workbookView xWindow="-108" yWindow="-108" windowWidth="41496" windowHeight="16776" tabRatio="769" xr2:uid="{00000000-000D-0000-FFFF-FFFF00000000}"/>
  </bookViews>
  <sheets>
    <sheet name="Summary" sheetId="1" r:id="rId1"/>
    <sheet name="&lt;FREE DASHBOARDS&gt;" sheetId="22" r:id="rId2"/>
    <sheet name="Month-end Dashboard" sheetId="23" r:id="rId3"/>
    <sheet name="Dashboard by Class" sheetId="27" r:id="rId4"/>
    <sheet name="Trending P&amp;L" sheetId="19" r:id="rId5"/>
    <sheet name="P&amp;L by Class" sheetId="20" r:id="rId6"/>
    <sheet name="Trending Balance Sheet" sheetId="21" r:id="rId7"/>
    <sheet name="QBO Reports" sheetId="2" r:id="rId8"/>
    <sheet name="P&amp;L" sheetId="3" r:id="rId9"/>
    <sheet name="Balance Sheet" sheetId="4" r:id="rId10"/>
    <sheet name="AR Aging" sheetId="5" r:id="rId11"/>
    <sheet name="AP Aging" sheetId="6" r:id="rId12"/>
    <sheet name="Mapped Reports" sheetId="7" r:id="rId13"/>
    <sheet name="Acorn Inc. Map 1 P&amp;L" sheetId="8" r:id="rId14"/>
    <sheet name="Acorn Inc. Map 1 BS" sheetId="9" r:id="rId15"/>
    <sheet name="Flat Files" sheetId="10" r:id="rId16"/>
    <sheet name="IS GL Summary" sheetId="11" r:id="rId17"/>
    <sheet name="BS GL Summary" sheetId="12" r:id="rId18"/>
    <sheet name="BS Balances" sheetId="13" r:id="rId19"/>
    <sheet name="IS GL Detail" sheetId="24" r:id="rId20"/>
    <sheet name="BS GL Detail" sheetId="25" r:id="rId21"/>
    <sheet name="Data Validation" sheetId="14" r:id="rId22"/>
    <sheet name="GL Summary Validation" sheetId="15" r:id="rId23"/>
    <sheet name="Acorn Map 1 Validation" sheetId="16" r:id="rId24"/>
    <sheet name="Mapping Reference" sheetId="17" r:id="rId25"/>
    <sheet name="Date Mapping" sheetId="28" r:id="rId26"/>
  </sheets>
  <definedNames>
    <definedName name="_____________________T123456" localSheetId="25" hidden="1">{"COUNT",#N/A,FALSE,"AB"}</definedName>
    <definedName name="_____________________T12347" localSheetId="25" hidden="1">{"COUNT",#N/A,FALSE,"AB"}</definedName>
    <definedName name="__________________T123456" localSheetId="25" hidden="1">{"COUNT",#N/A,FALSE,"AB"}</definedName>
    <definedName name="__________________T12347" localSheetId="25" hidden="1">{"COUNT",#N/A,FALSE,"AB"}</definedName>
    <definedName name="______________T123456" localSheetId="25" hidden="1">{"COUNT",#N/A,FALSE,"AB"}</definedName>
    <definedName name="______________T12347" localSheetId="25" hidden="1">{"COUNT",#N/A,FALSE,"AB"}</definedName>
    <definedName name="_____________ads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_asd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_FA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_i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______ii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__ptc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__wtx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_ads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asd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FA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i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_____ii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_ptc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_wtx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_z2" localSheetId="25" hidden="1">{"Sch00",#N/A,FALSE,"1";"Contents",#N/A,FALSE,"1"}</definedName>
    <definedName name="____________z3" localSheetId="25" hidden="1">{"Sch01",#N/A,FALSE,"2";"Sch02",#N/A,FALSE,"2";"Sch03",#N/A,FALSE,"2";"Sch04",#N/A,FALSE,"2";"Sch05",#N/A,FALSE,"2";"Sch06",#N/A,FALSE,"2";"Sch17",#N/A,FALSE,"2";"Sch19",#N/A,FALSE,"2";"Sch20",#N/A,FALSE,"2";"Sch21",#N/A,FALSE,"2";"Sch26",#N/A,FALSE,"2"}</definedName>
    <definedName name="___________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_ads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asd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FA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i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____ii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ptc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wtx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z2" localSheetId="25" hidden="1">{"Sch00",#N/A,FALSE,"1";"Contents",#N/A,FALSE,"1"}</definedName>
    <definedName name="___________z3" localSheetId="25" hidden="1">{"Sch01",#N/A,FALSE,"2";"Sch02",#N/A,FALSE,"2";"Sch03",#N/A,FALSE,"2";"Sch04",#N/A,FALSE,"2";"Sch05",#N/A,FALSE,"2";"Sch06",#N/A,FALSE,"2";"Sch17",#N/A,FALSE,"2";"Sch19",#N/A,FALSE,"2";"Sch20",#N/A,FALSE,"2";"Sch21",#N/A,FALSE,"2";"Sch26",#N/A,FALSE,"2"}</definedName>
    <definedName name="__________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ads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asd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FA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i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___ii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ptc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wtx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z2" localSheetId="25" hidden="1">{"Sch00",#N/A,FALSE,"1";"Contents",#N/A,FALSE,"1"}</definedName>
    <definedName name="__________z3" localSheetId="25" hidden="1">{"Sch01",#N/A,FALSE,"2";"Sch02",#N/A,FALSE,"2";"Sch03",#N/A,FALSE,"2";"Sch04",#N/A,FALSE,"2";"Sch05",#N/A,FALSE,"2";"Sch06",#N/A,FALSE,"2";"Sch17",#N/A,FALSE,"2";"Sch19",#N/A,FALSE,"2";"Sch20",#N/A,FALSE,"2";"Sch21",#N/A,FALSE,"2";"Sch26",#N/A,FALSE,"2"}</definedName>
    <definedName name="_________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ads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asd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FA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i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__ii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ptc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wtx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z2" localSheetId="25" hidden="1">{"Sch00",#N/A,FALSE,"1";"Contents",#N/A,FALSE,"1"}</definedName>
    <definedName name="_________z3" localSheetId="25" hidden="1">{"Sch01",#N/A,FALSE,"2";"Sch02",#N/A,FALSE,"2";"Sch03",#N/A,FALSE,"2";"Sch04",#N/A,FALSE,"2";"Sch05",#N/A,FALSE,"2";"Sch06",#N/A,FALSE,"2";"Sch17",#N/A,FALSE,"2";"Sch19",#N/A,FALSE,"2";"Sch20",#N/A,FALSE,"2";"Sch21",#N/A,FALSE,"2";"Sch26",#N/A,FALSE,"2"}</definedName>
    <definedName name="________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z2" localSheetId="25" hidden="1">{"Sch00",#N/A,FALSE,"1";"Contents",#N/A,FALSE,"1"}</definedName>
    <definedName name="________z3" localSheetId="25" hidden="1">{"Sch01",#N/A,FALSE,"2";"Sch02",#N/A,FALSE,"2";"Sch03",#N/A,FALSE,"2";"Sch04",#N/A,FALSE,"2";"Sch05",#N/A,FALSE,"2";"Sch06",#N/A,FALSE,"2";"Sch17",#N/A,FALSE,"2";"Sch19",#N/A,FALSE,"2";"Sch20",#N/A,FALSE,"2";"Sch21",#N/A,FALSE,"2";"Sch26",#N/A,FALSE,"2"}</definedName>
    <definedName name="_______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ads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asd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FA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i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ii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ptc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T123456" localSheetId="25" hidden="1">{"COUNT",#N/A,FALSE,"AB"}</definedName>
    <definedName name="_______T12347" localSheetId="25" hidden="1">{"COUNT",#N/A,FALSE,"AB"}</definedName>
    <definedName name="_______wtx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z2" localSheetId="25" hidden="1">{"Sch00",#N/A,FALSE,"1";"Contents",#N/A,FALSE,"1"}</definedName>
    <definedName name="_______z3" localSheetId="25" hidden="1">{"Sch01",#N/A,FALSE,"2";"Sch02",#N/A,FALSE,"2";"Sch03",#N/A,FALSE,"2";"Sch04",#N/A,FALSE,"2";"Sch05",#N/A,FALSE,"2";"Sch06",#N/A,FALSE,"2";"Sch17",#N/A,FALSE,"2";"Sch19",#N/A,FALSE,"2";"Sch20",#N/A,FALSE,"2";"Sch21",#N/A,FALSE,"2";"Sch26",#N/A,FALSE,"2"}</definedName>
    <definedName name="______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z2" localSheetId="25" hidden="1">{"Sch00",#N/A,FALSE,"1";"Contents",#N/A,FALSE,"1"}</definedName>
    <definedName name="______z3" localSheetId="25" hidden="1">{"Sch01",#N/A,FALSE,"2";"Sch02",#N/A,FALSE,"2";"Sch03",#N/A,FALSE,"2";"Sch04",#N/A,FALSE,"2";"Sch05",#N/A,FALSE,"2";"Sch06",#N/A,FALSE,"2";"Sch17",#N/A,FALSE,"2";"Sch19",#N/A,FALSE,"2";"Sch20",#N/A,FALSE,"2";"Sch21",#N/A,FALSE,"2";"Sch26",#N/A,FALSE,"2"}</definedName>
    <definedName name="_____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ads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asd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FA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i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ii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ptc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T123456" localSheetId="25" hidden="1">{"COUNT",#N/A,FALSE,"AB"}</definedName>
    <definedName name="_____T12347" localSheetId="25" hidden="1">{"COUNT",#N/A,FALSE,"AB"}</definedName>
    <definedName name="_____wtx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z2" localSheetId="25" hidden="1">{"Sch00",#N/A,FALSE,"1";"Contents",#N/A,FALSE,"1"}</definedName>
    <definedName name="_____z3" localSheetId="25" hidden="1">{"Sch01",#N/A,FALSE,"2";"Sch02",#N/A,FALSE,"2";"Sch03",#N/A,FALSE,"2";"Sch04",#N/A,FALSE,"2";"Sch05",#N/A,FALSE,"2";"Sch06",#N/A,FALSE,"2";"Sch17",#N/A,FALSE,"2";"Sch19",#N/A,FALSE,"2";"Sch20",#N/A,FALSE,"2";"Sch21",#N/A,FALSE,"2";"Sch26",#N/A,FALSE,"2"}</definedName>
    <definedName name="____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ads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age1"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asd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DCF2" localSheetId="25" hidden="1">{#N/A,#N/A,TRUE,"DCF Summary (2)";#N/A,#N/A,TRUE,"DCF Summary";#N/A,"Middle Case Drivers",TRUE,"DCF"}</definedName>
    <definedName name="____del1" localSheetId="25" hidden="1">{#N/A,#N/A,TRUE,"cover";#N/A,#N/A,TRUE,"highlights";#N/A,#N/A,TRUE,"Balance sheet -condensed";#N/A,#N/A,TRUE,"Consol Inc Statment";#N/A,#N/A,TRUE,"EPS";#N/A,#N/A,TRUE,"incstmt seg";#N/A,#N/A,TRUE,"incstmt seg PY";#N/A,#N/A,TRUE,"prem by reg";#N/A,#N/A,TRUE,"prem by lob";#N/A,#N/A,TRUE,"ratios";#N/A,#N/A,TRUE,"inv port";#N/A,#N/A,TRUE,"loss analysis"}</definedName>
    <definedName name="____dfk1"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jd1"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kj1"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FA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i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ii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New2" localSheetId="25" hidden="1">{"TOTAL",#N/A,FALSE,"A";"FISCAL94",#N/A,FALSE,"A";"FISCAL95",#N/A,FALSE,"A";"FISCAL96",#N/A,FALSE,"A";"misc page",#N/A,FALSE,"A"}</definedName>
    <definedName name="____o1" localSheetId="25" hidden="1">{#N/A,#N/A,FALSE,"SUMMARY";#N/A,#N/A,FALSE,"mcsh";#N/A,#N/A,FALSE,"vol&amp;rev";#N/A,#N/A,FALSE,"wkgcap";#N/A,#N/A,FALSE,"DEPR&amp;DT";#N/A,#N/A,FALSE,"ASSETS";#N/A,#N/A,FALSE,"NI&amp;OTH&amp;DIV";#N/A,#N/A,FALSE,"CASHFLOW";#N/A,#N/A,FALSE,"CAPEMPL";#N/A,#N/A,FALSE,"ROCE"}</definedName>
    <definedName name="____ptc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sss2" localSheetId="2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____T123456" localSheetId="25" hidden="1">{"COUNT",#N/A,FALSE,"AB"}</definedName>
    <definedName name="____T12347" localSheetId="25" hidden="1">{"COUNT",#N/A,FALSE,"AB"}</definedName>
    <definedName name="____wtx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z2" localSheetId="25" hidden="1">{"Sch00",#N/A,FALSE,"1";"Contents",#N/A,FALSE,"1"}</definedName>
    <definedName name="____z3" localSheetId="25" hidden="1">{"Sch01",#N/A,FALSE,"2";"Sch02",#N/A,FALSE,"2";"Sch03",#N/A,FALSE,"2";"Sch04",#N/A,FALSE,"2";"Sch05",#N/A,FALSE,"2";"Sch06",#N/A,FALSE,"2";"Sch17",#N/A,FALSE,"2";"Sch19",#N/A,FALSE,"2";"Sch20",#N/A,FALSE,"2";"Sch21",#N/A,FALSE,"2";"Sch26",#N/A,FALSE,"2"}</definedName>
    <definedName name="___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aaa1" localSheetId="25" hidden="1">{#N/A,#N/A,FALSE,"Model";#N/A,#N/A,FALSE,"Division"}</definedName>
    <definedName name="___ads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asd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c" localSheetId="25" hidden="1">{#N/A,#N/A,FALSE,"Layout Cash Flow"}</definedName>
    <definedName name="___DCF2" localSheetId="25" hidden="1">{#N/A,#N/A,TRUE,"DCF Summary (2)";#N/A,#N/A,TRUE,"DCF Summary";#N/A,"Middle Case Drivers",TRUE,"DCF"}</definedName>
    <definedName name="___del1" localSheetId="25" hidden="1">{#N/A,#N/A,TRUE,"cover";#N/A,#N/A,TRUE,"highlights";#N/A,#N/A,TRUE,"Balance sheet -condensed";#N/A,#N/A,TRUE,"Consol Inc Statment";#N/A,#N/A,TRUE,"EPS";#N/A,#N/A,TRUE,"incstmt seg";#N/A,#N/A,TRUE,"incstmt seg PY";#N/A,#N/A,TRUE,"prem by reg";#N/A,#N/A,TRUE,"prem by lob";#N/A,#N/A,TRUE,"ratios";#N/A,#N/A,TRUE,"inv port";#N/A,#N/A,TRUE,"loss analysis"}</definedName>
    <definedName name="___FA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fy97" localSheetId="25" hidden="1">{#N/A,#N/A,FALSE,"FY97";#N/A,#N/A,FALSE,"FY98";#N/A,#N/A,FALSE,"FY99";#N/A,#N/A,FALSE,"FY00";#N/A,#N/A,FALSE,"FY01"}</definedName>
    <definedName name="___i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ii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o1" localSheetId="25" hidden="1">{#N/A,#N/A,FALSE,"SUMMARY";#N/A,#N/A,FALSE,"mcsh";#N/A,#N/A,FALSE,"vol&amp;rev";#N/A,#N/A,FALSE,"wkgcap";#N/A,#N/A,FALSE,"DEPR&amp;DT";#N/A,#N/A,FALSE,"ASSETS";#N/A,#N/A,FALSE,"NI&amp;OTH&amp;DIV";#N/A,#N/A,FALSE,"CASHFLOW";#N/A,#N/A,FALSE,"CAPEMPL";#N/A,#N/A,FALSE,"ROCE"}</definedName>
    <definedName name="___ptc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r" localSheetId="25" hidden="1">{"consolidated",#N/A,FALSE,"Sheet1";"cms",#N/A,FALSE,"Sheet1";"fse",#N/A,FALSE,"Sheet1"}</definedName>
    <definedName name="___sss2" localSheetId="2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___tes6" localSheetId="25" hidden="1">{"Data Worksheet",#N/A,FALSE,"CAREY97"}</definedName>
    <definedName name="___WRN1" localSheetId="25" hidden="1">{#N/A,#N/A,FALSE,"Pkg Assets";#N/A,#N/A,FALSE,"Elite Pkg Liab";#N/A,#N/A,FALSE,"Pkg Income";#N/A,#N/A,FALSE,"Pkg FOH";#N/A,#N/A,FALSE,"Pkg SGA"}</definedName>
    <definedName name="___wtx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z2" localSheetId="25" hidden="1">{"Sch00",#N/A,FALSE,"1";"Contents",#N/A,FALSE,"1"}</definedName>
    <definedName name="___z3" localSheetId="25" hidden="1">{"Sch01",#N/A,FALSE,"2";"Sch02",#N/A,FALSE,"2";"Sch03",#N/A,FALSE,"2";"Sch04",#N/A,FALSE,"2";"Sch05",#N/A,FALSE,"2";"Sch06",#N/A,FALSE,"2";"Sch17",#N/A,FALSE,"2";"Sch19",#N/A,FALSE,"2";"Sch20",#N/A,FALSE,"2";"Sch21",#N/A,FALSE,"2";"Sch26",#N/A,FALSE,"2"}</definedName>
    <definedName name="__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a1" localSheetId="25" hidden="1">{#N/A,#N/A,FALSE,"Pharm";#N/A,#N/A,FALSE,"WWCM"}</definedName>
    <definedName name="__A11" localSheetId="25" hidden="1">{#N/A,#N/A,FALSE,"Umsatz 99";#N/A,#N/A,FALSE,"ER 99 "}</definedName>
    <definedName name="__aaa1" localSheetId="25" hidden="1">{#N/A,#N/A,FALSE,"REPORT"}</definedName>
    <definedName name="__aas1" localSheetId="25" hidden="1">{#N/A,#N/A,FALSE,"REPORT"}</definedName>
    <definedName name="__ACS2000" localSheetId="25" hidden="1">{#N/A,#N/A,FALSE,"REPORT"}</definedName>
    <definedName name="__ads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AR11" localSheetId="25" hidden="1">{"AR9907",#N/A,TRUE,"AR 9907"}</definedName>
    <definedName name="__asd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b111" localSheetId="25" hidden="1">{#N/A,#N/A,FALSE,"Pharm";#N/A,#N/A,FALSE,"WWCM"}</definedName>
    <definedName name="__c" localSheetId="25" hidden="1">{"Fiesta Facer Page",#N/A,FALSE,"Q_C_S";"Fiesta Main Page",#N/A,FALSE,"V_L";"Fiesta 95BP Struct",#N/A,FALSE,"StructBP";"Fiesta Post 95BP Struct",#N/A,FALSE,"AdjStructBP"}</definedName>
    <definedName name="__DCF2" localSheetId="25" hidden="1">{#N/A,#N/A,TRUE,"DCF Summary (2)";#N/A,#N/A,TRUE,"DCF Summary";#N/A,"Middle Case Drivers",TRUE,"DCF"}</definedName>
    <definedName name="__del1" localSheetId="25" hidden="1">{#N/A,#N/A,TRUE,"cover";#N/A,#N/A,TRUE,"highlights";#N/A,#N/A,TRUE,"Balance sheet -condensed";#N/A,#N/A,TRUE,"Consol Inc Statment";#N/A,#N/A,TRUE,"EPS";#N/A,#N/A,TRUE,"incstmt seg";#N/A,#N/A,TRUE,"incstmt seg PY";#N/A,#N/A,TRUE,"prem by reg";#N/A,#N/A,TRUE,"prem by lob";#N/A,#N/A,TRUE,"ratios";#N/A,#N/A,TRUE,"inv port";#N/A,#N/A,TRUE,"loss analysis"}</definedName>
    <definedName name="__dff1" localSheetId="25" hidden="1">{"incomemth",#N/A,TRUE,"forecast01";"incpercentmth",#N/A,TRUE,"forecast01";"balancemth",#N/A,TRUE,"forecast01";"cashmth",#N/A,TRUE,"forecast01";"cov2mth",#N/A,TRUE,"forecast01";"prbexp",#N/A,TRUE,"forecast01";"prbcap",#N/A,TRUE,"forecast01";"coalconsultants",#N/A,TRUE,"forecast01";"prbsum",#N/A,TRUE,"forecast01"}</definedName>
    <definedName name="__FA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fdf1" localSheetId="25" hidden="1">{"incomemth",#N/A,TRUE,"forecast00";"incomepercentmth",#N/A,TRUE,"forecast00";"balancemth",#N/A,TRUE,"forecast00";"cashmth",#N/A,TRUE,"forecast00";"covenantmth",#N/A,TRUE,"forecast00"}</definedName>
    <definedName name="__fdg1" localSheetId="25" hidden="1">{"incomemth",#N/A,TRUE,"forecast00";"incomepercentmth",#N/A,TRUE,"forecast00";"balancemth",#N/A,TRUE,"forecast00";"cashmth",#N/A,TRUE,"forecast00";"covenantmth",#N/A,TRUE,"forecast00"}</definedName>
    <definedName name="__fds1" localSheetId="25" hidden="1">{"incomemth",#N/A,TRUE,"forecast01";"incpercentmth",#N/A,TRUE,"forecast01";"balancemth",#N/A,TRUE,"forecast01";"cashmth",#N/A,TRUE,"forecast01";"cov2mth",#N/A,TRUE,"forecast01";"prbexp",#N/A,TRUE,"forecast01";"prbcap",#N/A,TRUE,"forecast01";"coalconsultants",#N/A,TRUE,"forecast01";"prbsum",#N/A,TRUE,"forecast01"}</definedName>
    <definedName name="__fy97" localSheetId="25" hidden="1">{#N/A,#N/A,FALSE,"FY97";#N/A,#N/A,FALSE,"FY98";#N/A,#N/A,FALSE,"FY99";#N/A,#N/A,FALSE,"FY00";#N/A,#N/A,FALSE,"FY01"}</definedName>
    <definedName name="__gf1" localSheetId="25" hidden="1">{"incomemth",#N/A,TRUE,"forecast00";"incomepercentmth",#N/A,TRUE,"forecast00";"balancemth",#N/A,TRUE,"forecast00";"cashmth",#N/A,TRUE,"forecast00";"covenantmth",#N/A,TRUE,"forecast00"}</definedName>
    <definedName name="__i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ii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new1" localSheetId="25" hidden="1">{#N/A,#N/A,FALSE,"Pharm";#N/A,#N/A,FALSE,"WWCM"}</definedName>
    <definedName name="__o1" localSheetId="25" hidden="1">{#N/A,#N/A,FALSE,"SUMMARY";#N/A,#N/A,FALSE,"mcsh";#N/A,#N/A,FALSE,"vol&amp;rev";#N/A,#N/A,FALSE,"wkgcap";#N/A,#N/A,FALSE,"DEPR&amp;DT";#N/A,#N/A,FALSE,"ASSETS";#N/A,#N/A,FALSE,"NI&amp;OTH&amp;DIV";#N/A,#N/A,FALSE,"CASHFLOW";#N/A,#N/A,FALSE,"CAPEMPL";#N/A,#N/A,FALSE,"ROCE"}</definedName>
    <definedName name="__ptc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r" localSheetId="25" hidden="1">{#N/A,#N/A,FALSE,"Pharm";#N/A,#N/A,FALSE,"WWCM"}</definedName>
    <definedName name="__sss2" localSheetId="2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__T123456" localSheetId="25" hidden="1">{"COUNT",#N/A,FALSE,"AB"}</definedName>
    <definedName name="__T12347" localSheetId="25" hidden="1">{"COUNT",#N/A,FALSE,"AB"}</definedName>
    <definedName name="__tm1" localSheetId="25" hidden="1">{#N/A,#N/A,FALSE,"Pharm";#N/A,#N/A,FALSE,"WWCM"}</definedName>
    <definedName name="__WRN1" localSheetId="25" hidden="1">{#N/A,#N/A,FALSE,"Pkg Assets";#N/A,#N/A,FALSE,"Elite Pkg Liab";#N/A,#N/A,FALSE,"Pkg Income";#N/A,#N/A,FALSE,"Pkg FOH";#N/A,#N/A,FALSE,"Pkg SGA"}</definedName>
    <definedName name="__wtx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X2" localSheetId="25" hidden="1">{#N/A,#N/A,FALSE,"Other";#N/A,#N/A,FALSE,"Ace";#N/A,#N/A,FALSE,"Derm"}</definedName>
    <definedName name="__z2" localSheetId="25" hidden="1">{"Sch00",#N/A,FALSE,"1";"Contents",#N/A,FALSE,"1"}</definedName>
    <definedName name="__z3" localSheetId="25" hidden="1">{"Sch01",#N/A,FALSE,"2";"Sch02",#N/A,FALSE,"2";"Sch03",#N/A,FALSE,"2";"Sch04",#N/A,FALSE,"2";"Sch05",#N/A,FALSE,"2";"Sch06",#N/A,FALSE,"2";"Sch17",#N/A,FALSE,"2";"Sch19",#N/A,FALSE,"2";"Sch20",#N/A,FALSE,"2";"Sch21",#N/A,FALSE,"2";"Sch26",#N/A,FALSE,"2"}</definedName>
    <definedName name="_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42wrn.²Ä1­Ó¤ë1_Ü20¤H." localSheetId="25" hidden="1">{#N/A,#N/A,FALSE,"²Ä1­Ó¤ë"}</definedName>
    <definedName name="_8wrn.²Ä1­Ó¤ë1_Ü20¤H." localSheetId="25" hidden="1">{#N/A,#N/A,FALSE,"²Ä1­Ó¤ë"}</definedName>
    <definedName name="_a1" localSheetId="25" hidden="1">{#N/A,#N/A,FALSE,"Pharm";#N/A,#N/A,FALSE,"WWCM"}</definedName>
    <definedName name="_A11" localSheetId="25" hidden="1">{#N/A,#N/A,FALSE,"Umsatz 99";#N/A,#N/A,FALSE,"ER 99 "}</definedName>
    <definedName name="_aaa1" localSheetId="25" hidden="1">{#N/A,#N/A,FALSE,"REPORT"}</definedName>
    <definedName name="_aas1" localSheetId="25" hidden="1">{#N/A,#N/A,FALSE,"REPORT"}</definedName>
    <definedName name="_ACS2000" localSheetId="25" hidden="1">{#N/A,#N/A,FALSE,"REPORT"}</definedName>
    <definedName name="_ads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age1"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sd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b111" localSheetId="25" hidden="1">{#N/A,#N/A,FALSE,"Pharm";#N/A,#N/A,FALSE,"WWCM"}</definedName>
    <definedName name="_c" localSheetId="25" hidden="1">{"Fiesta Facer Page",#N/A,FALSE,"Q_C_S";"Fiesta Main Page",#N/A,FALSE,"V_L";"Fiesta 95BP Struct",#N/A,FALSE,"StructBP";"Fiesta Post 95BP Struct",#N/A,FALSE,"AdjStructBP"}</definedName>
    <definedName name="_cd1" localSheetId="25" hidden="1">{#N/A,#N/A,FALSE,"Job Sched"}</definedName>
    <definedName name="_cd2" localSheetId="25" hidden="1">{#N/A,#N/A,FALSE,"Job Sched"}</definedName>
    <definedName name="_CD3" localSheetId="25" hidden="1">{#N/A,#N/A,FALSE,"Job Sched"}</definedName>
    <definedName name="_cd4" localSheetId="25" hidden="1">{#N/A,#N/A,FALSE,"Job Sched"}</definedName>
    <definedName name="_Cd5" localSheetId="25" hidden="1">{#N/A,#N/A,FALSE,"A"}</definedName>
    <definedName name="_cd8" localSheetId="25" hidden="1">{#N/A,#N/A,FALSE,"Job Sched"}</definedName>
    <definedName name="_DCF2" localSheetId="25" hidden="1">{#N/A,#N/A,TRUE,"DCF Summary (2)";#N/A,#N/A,TRUE,"DCF Summary";#N/A,"Middle Case Drivers",TRUE,"DCF"}</definedName>
    <definedName name="_del1" localSheetId="25" hidden="1">{#N/A,#N/A,TRUE,"cover";#N/A,#N/A,TRUE,"highlights";#N/A,#N/A,TRUE,"Balance sheet -condensed";#N/A,#N/A,TRUE,"Consol Inc Statment";#N/A,#N/A,TRUE,"EPS";#N/A,#N/A,TRUE,"incstmt seg";#N/A,#N/A,TRUE,"incstmt seg PY";#N/A,#N/A,TRUE,"prem by reg";#N/A,#N/A,TRUE,"prem by lob";#N/A,#N/A,TRUE,"ratios";#N/A,#N/A,TRUE,"inv port";#N/A,#N/A,TRUE,"loss analysis"}</definedName>
    <definedName name="_dfk1"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jd1"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FA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xlnm._FilterDatabase" localSheetId="20" hidden="1">'BS GL Detail'!$B$5:$Q$183</definedName>
    <definedName name="_xlnm._FilterDatabase" localSheetId="19" hidden="1">'IS GL Detail'!$B$5:$Q$207</definedName>
    <definedName name="_xlnm._FilterDatabase" localSheetId="16" hidden="1">'IS GL Summary'!$B$5:$H$590</definedName>
    <definedName name="_xlnm._FilterDatabase" hidden="1">#REF!</definedName>
    <definedName name="_fy97" localSheetId="25" hidden="1">{#N/A,#N/A,FALSE,"FY97";#N/A,#N/A,FALSE,"FY98";#N/A,#N/A,FALSE,"FY99";#N/A,#N/A,FALSE,"FY00";#N/A,#N/A,FALSE,"FY01"}</definedName>
    <definedName name="_hod2" localSheetId="25" hidden="1">{#N/A,#N/A,FALSE,"TS";#N/A,#N/A,FALSE,"Combo";#N/A,#N/A,FALSE,"FAIR";#N/A,#N/A,FALSE,"RBC";#N/A,#N/A,FALSE,"xxxx";#N/A,#N/A,FALSE,"A_D";#N/A,#N/A,FALSE,"WACC";#N/A,#N/A,FALSE,"DCF";#N/A,#N/A,FALSE,"LBO";#N/A,#N/A,FALSE,"AcqMults";#N/A,#N/A,FALSE,"CompMults"}</definedName>
    <definedName name="_i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ibo2" localSheetId="25" hidden="1">{#N/A,#N/A,FALSE,"Summary";#N/A,#N/A,FALSE,"Projections";#N/A,#N/A,FALSE,"Mkt Mults";#N/A,#N/A,FALSE,"DCF";#N/A,#N/A,FALSE,"Accr Dil";#N/A,#N/A,FALSE,"PIC LBO";#N/A,#N/A,FALSE,"MULT10_4";#N/A,#N/A,FALSE,"CBI LBO"}</definedName>
    <definedName name="_ii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mfg2" localSheetId="25" hidden="1">{"PAGE 1",#N/A,FALSE,"WEST_OT"}</definedName>
    <definedName name="_mfg3" localSheetId="25" hidden="1">{"PAGE 1",#N/A,FALSE,"WEST_OT"}</definedName>
    <definedName name="_mfg4" localSheetId="25" hidden="1">{"PAGE 1",#N/A,FALSE,"WEST_OT"}</definedName>
    <definedName name="_mfg5" localSheetId="25" hidden="1">{"PAGE 1",#N/A,FALSE,"WEST_OT"}</definedName>
    <definedName name="_new1" localSheetId="25" hidden="1">{#N/A,#N/A,FALSE,"Pharm";#N/A,#N/A,FALSE,"WWCM"}</definedName>
    <definedName name="_o1" localSheetId="25" hidden="1">{#N/A,#N/A,FALSE,"SUMMARY";#N/A,#N/A,FALSE,"mcsh";#N/A,#N/A,FALSE,"vol&amp;rev";#N/A,#N/A,FALSE,"wkgcap";#N/A,#N/A,FALSE,"DEPR&amp;DT";#N/A,#N/A,FALSE,"ASSETS";#N/A,#N/A,FALSE,"NI&amp;OTH&amp;DIV";#N/A,#N/A,FALSE,"CASHFLOW";#N/A,#N/A,FALSE,"CAPEMPL";#N/A,#N/A,FALSE,"ROCE"}</definedName>
    <definedName name="_old2" localSheetId="25" hidden="1">{#N/A,#N/A,FALSE,"Income";#N/A,#N/A,FALSE,"Cost of Goods Sold";#N/A,#N/A,FALSE,"Other Costs";#N/A,#N/A,FALSE,"Other Income";#N/A,#N/A,FALSE,"Taxes";#N/A,#N/A,FALSE,"Other Deductions";#N/A,#N/A,FALSE,"Compensation of Officers"}</definedName>
    <definedName name="_old3" localSheetId="25" hidden="1">{#N/A,#N/A,FALSE,"Income";#N/A,#N/A,FALSE,"Cost of Goods Sold";#N/A,#N/A,FALSE,"Other Costs";#N/A,#N/A,FALSE,"Other Income";#N/A,#N/A,FALSE,"Taxes";#N/A,#N/A,FALSE,"Other Deductions";#N/A,#N/A,FALSE,"Compensation of Officers"}</definedName>
    <definedName name="_old4" localSheetId="25" hidden="1">{#N/A,#N/A,FALSE,"Income";#N/A,#N/A,FALSE,"Cost of Goods Sold";#N/A,#N/A,FALSE,"Other Costs";#N/A,#N/A,FALSE,"Other Income";#N/A,#N/A,FALSE,"Taxes";#N/A,#N/A,FALSE,"Other Deductions";#N/A,#N/A,FALSE,"Compensation of Officers"}</definedName>
    <definedName name="_old5" localSheetId="25" hidden="1">{#N/A,#N/A,FALSE,"Income";#N/A,#N/A,FALSE,"Cost of Goods Sold";#N/A,#N/A,FALSE,"Other Costs";#N/A,#N/A,FALSE,"Other Income";#N/A,#N/A,FALSE,"Taxes";#N/A,#N/A,FALSE,"Other Deductions";#N/A,#N/A,FALSE,"Compensation of Officers"}</definedName>
    <definedName name="_old8" localSheetId="25" hidden="1">{#N/A,#N/A,FALSE,"Income";#N/A,#N/A,FALSE,"Cost of Goods Sold";#N/A,#N/A,FALSE,"Other Costs";#N/A,#N/A,FALSE,"Other Income";#N/A,#N/A,FALSE,"Taxes";#N/A,#N/A,FALSE,"Other Deductions";#N/A,#N/A,FALSE,"Compensation of Officers"}</definedName>
    <definedName name="_old9" localSheetId="25" hidden="1">{#N/A,#N/A,FALSE,"Income";#N/A,#N/A,FALSE,"Cost of Goods Sold";#N/A,#N/A,FALSE,"Other Costs";#N/A,#N/A,FALSE,"Other Income";#N/A,#N/A,FALSE,"Taxes";#N/A,#N/A,FALSE,"Other Deductions";#N/A,#N/A,FALSE,"Compensation of Officers"}</definedName>
    <definedName name="_PCD1" localSheetId="25" hidden="1">{#N/A,#N/A,TRUE,"Sch-1a";#N/A,#N/A,TRUE,"Sch-1b";#N/A,#N/A,TRUE,"Sch-1c";#N/A,#N/A,TRUE,"Sch-1d";#N/A,#N/A,TRUE,"Sch-2a";#N/A,#N/A,TRUE,"Sch-2b";#N/A,#N/A,TRUE,"Sch-2c";#N/A,#N/A,TRUE,"Sch-3a";#N/A,#N/A,TRUE,"Sch-3b";#N/A,#N/A,TRUE,"Sch-3c";#N/A,#N/A,TRUE,"Sch-3d";#N/A,#N/A,TRUE,"Sch-3e"}</definedName>
    <definedName name="_ptc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r" localSheetId="25" hidden="1">{#N/A,#N/A,FALSE,"Pharm";#N/A,#N/A,FALSE,"WWCM"}</definedName>
    <definedName name="_rod1" localSheetId="25" hidden="1">{#N/A,#N/A,FALSE,"Projections";#N/A,#N/A,FALSE,"Multiples Valuation";#N/A,#N/A,FALSE,"LBO";#N/A,#N/A,FALSE,"Multiples_Sensitivity";#N/A,#N/A,FALSE,"Summary"}</definedName>
    <definedName name="_sss2" localSheetId="2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_tes6" localSheetId="25" hidden="1">{"Data Worksheet",#N/A,FALSE,"CAREY97"}</definedName>
    <definedName name="_tm1" localSheetId="25" hidden="1">{#N/A,#N/A,FALSE,"Pharm";#N/A,#N/A,FALSE,"WWCM"}</definedName>
    <definedName name="_wrn1" localSheetId="25" hidden="1">{"schedule1",#N/A,FALSE,"Sheet1";"schedule2",#N/A,FALSE,"Sheet1";"schedule3",#N/A,FALSE,"Sheet1";"schedule4",#N/A,FALSE,"Sheet1";"schedule5",#N/A,FALSE,"Sheet1";"schedule6",#N/A,FALSE,"Sheet1"}</definedName>
    <definedName name="_wtx2"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X2" localSheetId="25" hidden="1">{#N/A,#N/A,FALSE,"Other";#N/A,#N/A,FALSE,"Ace";#N/A,#N/A,FALSE,"Derm"}</definedName>
    <definedName name="_xlchart.v1.0" hidden="1">'Month-end Dashboard'!$T$29:$T$35</definedName>
    <definedName name="_xlchart.v1.1" hidden="1">'Month-end Dashboard'!$U$28</definedName>
    <definedName name="_xlchart.v1.2" hidden="1">'Month-end Dashboard'!$U$29:$U$35</definedName>
    <definedName name="_Z04" localSheetId="25" hidden="1">{#N/A,#N/A,FALSE,"Australia";#N/A,#N/A,FALSE,"Austria";#N/A,#N/A,FALSE,"Belgium";#N/A,#N/A,FALSE,"Canada";#N/A,#N/A,FALSE,"France";#N/A,#N/A,FALSE,"Germany";#N/A,#N/A,FALSE,"Hong Kong";#N/A,#N/A,FALSE,"Italy";#N/A,#N/A,FALSE,"Japan";#N/A,#N/A,FALSE,"Korea";#N/A,#N/A,FALSE,"Mexico";#N/A,#N/A,FALSE,"Poland";#N/A,#N/A,FALSE,"Spain";#N/A,#N/A,FALSE,"Switzerland";#N/A,#N/A,FALSE,"UK"}</definedName>
    <definedName name="_Z05" localSheetId="25" hidden="1">{#N/A,#N/A,FALSE,"Australia";#N/A,#N/A,FALSE,"Austria";#N/A,#N/A,FALSE,"Belgium";#N/A,#N/A,FALSE,"Canada";#N/A,#N/A,FALSE,"France";#N/A,#N/A,FALSE,"Germany";#N/A,#N/A,FALSE,"Hong Kong";#N/A,#N/A,FALSE,"Italy";#N/A,#N/A,FALSE,"Japan";#N/A,#N/A,FALSE,"Korea";#N/A,#N/A,FALSE,"Mexico";#N/A,#N/A,FALSE,"Poland";#N/A,#N/A,FALSE,"Spain";#N/A,#N/A,FALSE,"Switzerland";#N/A,#N/A,FALSE,"UK"}</definedName>
    <definedName name="_z2" localSheetId="25" hidden="1">{"Sch00",#N/A,FALSE,"1";"Contents",#N/A,FALSE,"1"}</definedName>
    <definedName name="_z3" localSheetId="25" hidden="1">{"Sch01",#N/A,FALSE,"2";"Sch02",#N/A,FALSE,"2";"Sch03",#N/A,FALSE,"2";"Sch04",#N/A,FALSE,"2";"Sch05",#N/A,FALSE,"2";"Sch06",#N/A,FALSE,"2";"Sch17",#N/A,FALSE,"2";"Sch19",#N/A,FALSE,"2";"Sch20",#N/A,FALSE,"2";"Sch21",#N/A,FALSE,"2";"Sch26",#N/A,FALSE,"2"}</definedName>
    <definedName name="_zz3" localSheetId="25"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a" localSheetId="25" hidden="1">{#N/A,#N/A,FALSE,"Projections";#N/A,#N/A,FALSE,"Multiples Valuation";#N/A,#N/A,FALSE,"LBO";#N/A,#N/A,FALSE,"Multiples_Sensitivity";#N/A,#N/A,FALSE,"Summary"}</definedName>
    <definedName name="aa" localSheetId="25" hidden="1">{#N/A,#N/A,FALSE,"Projections";#N/A,#N/A,FALSE,"Multiples Valuation";#N/A,#N/A,FALSE,"LBO";#N/A,#N/A,FALSE,"Multiples_Sensitivity";#N/A,#N/A,FALSE,"Summary"}</definedName>
    <definedName name="aaa"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aaaaa" localSheetId="25" hidden="1">{#N/A,#N/A,FALSE,"REPORT"}</definedName>
    <definedName name="aaaaaa" localSheetId="25" hidden="1">{#N/A,#N/A,FALSE,"REPORT"}</definedName>
    <definedName name="aaaaaaa" localSheetId="25" hidden="1">{#N/A,#N/A,FALSE,"REPORT"}</definedName>
    <definedName name="aaaaaaaaaaa" localSheetId="25" hidden="1">{#N/A,#N/A,FALSE,"REPORT"}</definedName>
    <definedName name="aaaaaaaaaaaa" localSheetId="25" hidden="1">{#N/A,#N/A,TRUE,"Sch-1a";#N/A,#N/A,TRUE,"Sch-1b";#N/A,#N/A,TRUE,"Sch-1c";#N/A,#N/A,TRUE,"Sch-1d";#N/A,#N/A,TRUE,"Sch-2a";#N/A,#N/A,TRUE,"Sch-2b";#N/A,#N/A,TRUE,"Sch-2c";#N/A,#N/A,TRUE,"Sch-3a";#N/A,#N/A,TRUE,"Sch-3b";#N/A,#N/A,TRUE,"Sch-3c";#N/A,#N/A,TRUE,"Sch-3d";#N/A,#N/A,TRUE,"Sch-3e"}</definedName>
    <definedName name="aaaaaaaaaaaaaaa" localSheetId="25" hidden="1">{#N/A,#N/A,FALSE,"Pharm";#N/A,#N/A,FALSE,"WWCM"}</definedName>
    <definedName name="aaaaab" localSheetId="25" hidden="1">{#N/A,#N/A,FALSE,"Model";#N/A,#N/A,FALSE,"Division"}</definedName>
    <definedName name="aaasb" localSheetId="25" hidden="1">{#N/A,#N/A,FALSE,"Pharm";#N/A,#N/A,FALSE,"WWCM"}</definedName>
    <definedName name="aab" localSheetId="25" hidden="1">{#N/A,#N/A,FALSE,"Pharm";#N/A,#N/A,FALSE,"WWCM"}</definedName>
    <definedName name="aaddd" localSheetId="25" hidden="1">{#N/A,#N/A,FALSE,"REPORT"}</definedName>
    <definedName name="aas" localSheetId="25" hidden="1">{#N/A,#N/A,FALSE,"1";#N/A,#N/A,FALSE,"2";#N/A,#N/A,FALSE,"16 - 17";#N/A,#N/A,FALSE,"18 - 19";#N/A,#N/A,FALSE,"26";#N/A,#N/A,FALSE,"27";#N/A,#N/A,FALSE,"28"}</definedName>
    <definedName name="aasdfa" localSheetId="25" hidden="1">{"rtn",#N/A,FALSE,"RTN";"tables",#N/A,FALSE,"RTN";"cf",#N/A,FALSE,"CF";"stats",#N/A,FALSE,"Stats";"prop",#N/A,FALSE,"Prop"}</definedName>
    <definedName name="ab"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abc" localSheetId="25" hidden="1">{#N/A,#N/A,FALSE,"REPORT"}</definedName>
    <definedName name="Abrisa" localSheetId="25" hidden="1">{"FY04_Assets",#N/A,FALSE,"Fin Stmt Budget";"FY04_Liabilities",#N/A,FALSE,"Fin Stmt Budget";"FY04_Inc_Stmt",#N/A,FALSE,"Fin Stmt Budget";"FY04_SOCF",#N/A,FALSE,"Fin Stmt Budget"}</definedName>
    <definedName name="AC_DRA" localSheetId="25" hidden="1">{#N/A,#N/A,FALSE,"Australia";#N/A,#N/A,FALSE,"Austria";#N/A,#N/A,FALSE,"Belgium";#N/A,#N/A,FALSE,"Canada";#N/A,#N/A,FALSE,"France";#N/A,#N/A,FALSE,"Germany";#N/A,#N/A,FALSE,"Hong Kong";#N/A,#N/A,FALSE,"Italy";#N/A,#N/A,FALSE,"Japan";#N/A,#N/A,FALSE,"Korea";#N/A,#N/A,FALSE,"Mexico";#N/A,#N/A,FALSE,"Poland";#N/A,#N/A,FALSE,"Spain";#N/A,#N/A,FALSE,"Switzerland";#N/A,#N/A,FALSE,"UK"}</definedName>
    <definedName name="acc" localSheetId="25" hidden="1">{#N/A,#N/A,FALSE,"Calc";#N/A,#N/A,FALSE,"Sensitivity";#N/A,#N/A,FALSE,"LT Earn.Dil.";#N/A,#N/A,FALSE,"Dil. AVP"}</definedName>
    <definedName name="adf"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dfasfdadf"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dfda"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gasdysty" localSheetId="25" hidden="1">{#N/A,#N/A,FALSE,"REPORT"}</definedName>
    <definedName name="adfsfjfjky" localSheetId="25" hidden="1">{#N/A,#N/A,FALSE,"REPORT"}</definedName>
    <definedName name="ads"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afasdf" localSheetId="25" hidden="1">{"IS",#N/A,FALSE,"IS";"RPTIS",#N/A,FALSE,"RPTIS";"STATS",#N/A,FALSE,"STATS";"BS",#N/A,FALSE,"BS"}</definedName>
    <definedName name="afasdf2" localSheetId="25" hidden="1">{"IS",#N/A,FALSE,"IS";"RPTIS",#N/A,FALSE,"RPTIS";"STATS",#N/A,FALSE,"STATS";"BS",#N/A,FALSE,"BS"}</definedName>
    <definedName name="afd" localSheetId="25" hidden="1">{#N/A,#N/A,FALSE,"UTIL Monthly Inc ";#N/A,#N/A,FALSE,"Capital";#N/A,#N/A,FALSE,"UTIL REVENUE";#N/A,#N/A,FALSE,"RM REVENUE";#N/A,#N/A,FALSE,"Manpower";#N/A,#N/A,FALSE,"SI - UTIL";#N/A,#N/A,FALSE,"Sales - Utili"}</definedName>
    <definedName name="AFDADSFDAS" localSheetId="25" hidden="1">{#N/A,#N/A,FALSE,"REPORT"}</definedName>
    <definedName name="africa" localSheetId="25" hidden="1">{#N/A,#N/A,FALSE,"CNS";#N/A,#N/A,FALSE,"Serz";#N/A,#N/A,FALSE,"Ace"}</definedName>
    <definedName name="afsfa" localSheetId="25" hidden="1">{#N/A,#N/A,FALSE,"Aging Summary";#N/A,#N/A,FALSE,"Ratio Analysis";#N/A,#N/A,FALSE,"Test 120 Day Accts";#N/A,#N/A,FALSE,"Tickmarks"}</definedName>
    <definedName name="ag" localSheetId="25" hidden="1">{TRUE,TRUE,-1.25,-15.5,456.75,279.75,FALSE,FALSE,TRUE,TRUE,0,1,8,1,4,6,3,4,TRUE,TRUE,3,TRUE,1,TRUE,100,"Swvu.turnover.","ACwvu.turnover.",1,FALSE,FALSE,0.511811023622047,0.511811023622047,0.511811023622047,0.511811023622047,1,"","",FALSE,FALSE,FALSE,FALSE,1,#N/A,1,1,#DIV/0!,FALSE,"Rwvu.turnover.",#N/A,FALSE,FALSE}</definedName>
    <definedName name="agafdhsdh" localSheetId="25" hidden="1">{#N/A,#N/A,FALSE,"REPORT"}</definedName>
    <definedName name="again" localSheetId="25" hidden="1">{"Data Worksheet",#N/A,FALSE,"CAREY97"}</definedName>
    <definedName name="again2" localSheetId="25" hidden="1">{"Data Worksheet",#N/A,FALSE,"CAREY97"}</definedName>
    <definedName name="age"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fds" localSheetId="25" hidden="1">{TRUE,TRUE,-1.25,-15.5,456.75,279.75,FALSE,FALSE,TRUE,TRUE,0,1,8,1,4,6,3,4,TRUE,TRUE,3,TRUE,1,TRUE,100,"Swvu.turnover.","ACwvu.turnover.",1,FALSE,FALSE,0.511811023622047,0.511811023622047,0.511811023622047,0.511811023622047,1,"","",FALSE,FALSE,FALSE,FALSE,1,#N/A,1,1,#DIV/0!,FALSE,"Rwvu.turnover.",#N/A,FALSE,FALSE}</definedName>
    <definedName name="agsgaghgfj" localSheetId="25" hidden="1">{#N/A,#N/A,FALSE,"Pharm";#N/A,#N/A,FALSE,"WWCM"}</definedName>
    <definedName name="alex" localSheetId="25" hidden="1">{#N/A,#N/A,FALSE,"REPORT"}</definedName>
    <definedName name="alexan" localSheetId="25" hidden="1">{#N/A,#N/A,FALSE,"REPORT"}</definedName>
    <definedName name="alyson" localSheetId="25" hidden="1">{#N/A,#N/A,FALSE,"Australia";#N/A,#N/A,FALSE,"Austria";#N/A,#N/A,FALSE,"Belgium";#N/A,#N/A,FALSE,"Canada";#N/A,#N/A,FALSE,"France";#N/A,#N/A,FALSE,"Germany";#N/A,#N/A,FALSE,"Hong Kong";#N/A,#N/A,FALSE,"Italy";#N/A,#N/A,FALSE,"Japan";#N/A,#N/A,FALSE,"Korea";#N/A,#N/A,FALSE,"Mexico";#N/A,#N/A,FALSE,"Poland";#N/A,#N/A,FALSE,"Spain";#N/A,#N/A,FALSE,"Switzerland";#N/A,#N/A,FALSE,"UK"}</definedName>
    <definedName name="AM" localSheetId="25" hidden="1">{#N/A,#N/A,FALSE,"Aging Summary";#N/A,#N/A,FALSE,"Ratio Analysis";#N/A,#N/A,FALSE,"Test 120 Day Accts";#N/A,#N/A,FALSE,"Tickmarks"}</definedName>
    <definedName name="andy" localSheetId="25" hidden="1">{#N/A,#N/A,FALSE,"REPORT"}</definedName>
    <definedName name="as" localSheetId="25" hidden="1">{"Outflow 1",#N/A,FALSE,"Outflows-Inflows";"Outflow 2",#N/A,FALSE,"Outflows-Inflows";"Inflow 1",#N/A,FALSE,"Outflows-Inflows";"Inflow 2",#N/A,FALSE,"Outflows-Inflows"}</definedName>
    <definedName name="asa" localSheetId="25" hidden="1">{#N/A,#N/A,FALSE,"Aging Summary";#N/A,#N/A,FALSE,"Ratio Analysis";#N/A,#N/A,FALSE,"Test 120 Day Accts";#N/A,#N/A,FALSE,"Tickmarks"}</definedName>
    <definedName name="asas" localSheetId="25" hidden="1">{#N/A,#N/A,FALSE,"Pharm";#N/A,#N/A,FALSE,"WWCM"}</definedName>
    <definedName name="asasas" localSheetId="25" hidden="1">{"Milestone1 print",#N/A,FALSE,"Milestone1";"Fin Summary print",#N/A,FALSE,"Financial Summary";"Ops Summary print",#N/A,FALSE,"OP's 10k";"Austin Ops print",#N/A,FALSE,"AMF-AUSTIN";"Nashville Ops print",#N/A,FALSE,"AMF- NASHVILLE";"EMF Ops pring",#N/A,FALSE,"EMF Op's";"APCC Ops print",#N/A,FALSE,"APCC Op's";"CCC Ops print",#N/A,FALSE,"CCC Op's";"Brazil Ops print",#N/A,FALSE,"Brazil Op's ";"Brazil Ops print",#N/A,FALSE,"Japan Op's";"Container Loading print",#N/A,FALSE,"Container Loading";"BOM 1",#N/A,FALSE,"BOM 10k"}</definedName>
    <definedName name="asd"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asdasdasda" localSheetId="25" hidden="1">{#N/A,#N/A,TRUE,"DCF Summary (2)";#N/A,#N/A,TRUE,"DCF Summary";#N/A,"Middle Case Drivers",TRUE,"DCF"}</definedName>
    <definedName name="asdf" localSheetId="25" hidden="1">{#N/A,#N/A,FALSE,"Projections";#N/A,#N/A,FALSE,"Acq Mult";#N/A,#N/A,FALSE,"TWER Mult";#N/A,#N/A,FALSE,"DCF EBITDA";#N/A,#N/A,FALSE,"DCF EBIT";#N/A,#N/A,FALSE,"Debt Accr";#N/A,#N/A,FALSE,"Stock Accr";#N/A,#N/A,FALSE,"Debt Stock Accr";#N/A,#N/A,FALSE,"Accr Dil Sensi"}</definedName>
    <definedName name="asdf2" localSheetId="25" hidden="1">{"IS",#N/A,FALSE,"IS";"RPTIS",#N/A,FALSE,"RPTIS";"STATS",#N/A,FALSE,"STATS";"CELL",#N/A,FALSE,"CELL";"BS",#N/A,FALSE,"BS"}</definedName>
    <definedName name="asdfadg"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s" localSheetId="25" hidden="1">{"print 1.6",#N/A,FALSE,"Sheet1";"print 2.6",#N/A,FALSE,"Sheet1";"print 3.6",#N/A,FALSE,"Sheet1";"print 4.6",#N/A,FALSE,"Sheet1";"print 5.6",#N/A,FALSE,"Sheet1";"print 6.6",#N/A,FALSE,"Sheet1"}</definedName>
    <definedName name="asdfasaa" localSheetId="25" hidden="1">{"print 1.6",#N/A,FALSE,"Sheet1";"print 2.6",#N/A,FALSE,"Sheet1";"print 3.6",#N/A,FALSE,"Sheet1";"print 4.6",#N/A,FALSE,"Sheet1";"print 5.6",#N/A,FALSE,"Sheet1";"print 6.6",#N/A,FALSE,"Sheet1"}</definedName>
    <definedName name="asdfasdf" localSheetId="25" hidden="1">{#N/A,#N/A,FALSE,"TS";#N/A,#N/A,FALSE,"Combo";#N/A,#N/A,FALSE,"FAIR";#N/A,#N/A,FALSE,"RBC";#N/A,#N/A,FALSE,"xxxx";#N/A,#N/A,FALSE,"A_D";#N/A,#N/A,FALSE,"WACC";#N/A,#N/A,FALSE,"DCF";#N/A,#N/A,FALSE,"LBO";#N/A,#N/A,FALSE,"AcqMults";#N/A,#N/A,FALSE,"CompMults"}</definedName>
    <definedName name="asdfg" localSheetId="25" hidden="1">{#N/A,#N/A,FALSE,"Pharm";#N/A,#N/A,FALSE,"WWCM"}</definedName>
    <definedName name="asdfsadf" localSheetId="25" hidden="1">{#N/A,#N/A,TRUE,"Sch-1a";#N/A,#N/A,TRUE,"Sch-1b";#N/A,#N/A,TRUE,"Sch-1c";#N/A,#N/A,TRUE,"Sch-1d";#N/A,#N/A,TRUE,"Sch-2a";#N/A,#N/A,TRUE,"Sch-2b";#N/A,#N/A,TRUE,"Sch-2c";#N/A,#N/A,TRUE,"Sch-3a";#N/A,#N/A,TRUE,"Sch-3b";#N/A,#N/A,TRUE,"Sch-3c";#N/A,#N/A,TRUE,"Sch-3d";#N/A,#N/A,TRUE,"Sch-3e"}</definedName>
    <definedName name="asdgahdfhth" localSheetId="25" hidden="1">{#N/A,#N/A,FALSE,"REPORT"}</definedName>
    <definedName name="asdgayery" localSheetId="25" hidden="1">{#N/A,#N/A,FALSE,"Pharm";#N/A,#N/A,FALSE,"WWCM"}</definedName>
    <definedName name="asdgfdytyet" localSheetId="25" hidden="1">{#N/A,#N/A,FALSE,"REPORT"}</definedName>
    <definedName name="asdgtryukuio" localSheetId="25" hidden="1">{#N/A,#N/A,FALSE,"REPORT"}</definedName>
    <definedName name="asdjgkl" localSheetId="25" hidden="1">{#N/A,#N/A,FALSE,"Pharm";#N/A,#N/A,FALSE,"WWCM"}</definedName>
    <definedName name="aserf" localSheetId="25" hidden="1">{"Summary Schedule",#N/A,FALSE,"Sheet1";"Divisional Support",#N/A,FALSE,"Sheet2";"Corporate Support",#N/A,FALSE,"Sheet3"}</definedName>
    <definedName name="asffghujyki" localSheetId="25" hidden="1">{#N/A,#N/A,FALSE,"Pharm";#N/A,#N/A,FALSE,"WWCM"}</definedName>
    <definedName name="asfg" localSheetId="25" hidden="1">{#N/A,#N/A,FALSE,"Balance Sheet";#N/A,#N/A,FALSE,"Income Statement";#N/A,#N/A,FALSE,"Changes in Financial Position"}</definedName>
    <definedName name="ASIA" localSheetId="25" hidden="1">{#N/A,#N/A,FALSE,"Est97";#N/A,#N/A,FALSE,"Plan98";#N/A,#N/A,FALSE,"Graphs";#N/A,#N/A,FALSE,"5Yr"}</definedName>
    <definedName name="ass" localSheetId="25" hidden="1">{#N/A,#N/A,TRUE,"Sch-1a";#N/A,#N/A,TRUE,"Sch-1b";#N/A,#N/A,TRUE,"Sch-1c";#N/A,#N/A,TRUE,"Sch-1d";#N/A,#N/A,TRUE,"Sch-2a";#N/A,#N/A,TRUE,"Sch-2b";#N/A,#N/A,TRUE,"Sch-2c";#N/A,#N/A,TRUE,"Sch-3a";#N/A,#N/A,TRUE,"Sch-3b";#N/A,#N/A,TRUE,"Sch-3c";#N/A,#N/A,TRUE,"Sch-3d";#N/A,#N/A,TRUE,"Sch-3e"}</definedName>
    <definedName name="ass.all" localSheetId="25" hidden="1">{#N/A,#N/A,FALSE,"cpt"}</definedName>
    <definedName name="ASSA" localSheetId="25" hidden="1">{#N/A,#N/A,FALSE,"1";#N/A,#N/A,FALSE,"2";#N/A,#N/A,FALSE,"16 - 17";#N/A,#N/A,FALSE,"18 - 19";#N/A,#N/A,FALSE,"26";#N/A,#N/A,FALSE,"27";#N/A,#N/A,FALSE,"28"}</definedName>
    <definedName name="asss" localSheetId="25" hidden="1">{"rtn",#N/A,FALSE,"RTN";"tables",#N/A,FALSE,"RTN";"cf",#N/A,FALSE,"CF";"stats",#N/A,FALSE,"Stats";"prop",#N/A,FALSE,"Prop"}</definedName>
    <definedName name="assssss" localSheetId="25" hidden="1">{"Summary Schedule",#N/A,FALSE,"Sheet1";"Divisional Support",#N/A,FALSE,"Sheet2";"Corporate Support",#N/A,FALSE,"Sheet3"}</definedName>
    <definedName name="ave"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yman" localSheetId="25" hidden="1">{#N/A,#N/A,FALSE,"1";#N/A,#N/A,FALSE,"2";#N/A,#N/A,FALSE,"16 - 17";#N/A,#N/A,FALSE,"18 - 19";#N/A,#N/A,FALSE,"26";#N/A,#N/A,FALSE,"27";#N/A,#N/A,FALSE,"28"}</definedName>
    <definedName name="ayman1" localSheetId="25" hidden="1">{#N/A,#N/A,FALSE,"Pharm";#N/A,#N/A,FALSE,"WWCM"}</definedName>
    <definedName name="ayman2" localSheetId="25" hidden="1">{#N/A,#N/A,FALSE,"Pharm";#N/A,#N/A,FALSE,"WWCM"}</definedName>
    <definedName name="ayman7" localSheetId="25" hidden="1">{#N/A,#N/A,FALSE,"REPORT"}</definedName>
    <definedName name="ayman8" localSheetId="25" hidden="1">{#N/A,#N/A,FALSE,"REPORT"}</definedName>
    <definedName name="az" localSheetId="25" hidden="1">{#N/A,#N/A,FALSE,"Pharm";#N/A,#N/A,FALSE,"WWCM"}</definedName>
    <definedName name="azeazr" localSheetId="25" hidden="1">{#N/A,#N/A,FALSE,"Sales Graph";#N/A,#N/A,FALSE,"BUC Graph";#N/A,#N/A,FALSE,"P&amp;L - YTD"}</definedName>
    <definedName name="azerety" localSheetId="25" hidden="1">{#N/A,#N/A,FALSE,"Pharm";#N/A,#N/A,FALSE,"WWCM"}</definedName>
    <definedName name="b" localSheetId="25" hidden="1">{#N/A,#N/A,FALSE,"Projections";#N/A,#N/A,FALSE,"AccrDil";#N/A,#N/A,FALSE,"PurchPriMult";#N/A,#N/A,FALSE,"Mults7_13";#N/A,#N/A,FALSE,"Mkt Mults";#N/A,#N/A,FALSE,"Acq Mults";#N/A,#N/A,FALSE,"StockPrices";#N/A,#N/A,FALSE,"Prem Paid";#N/A,#N/A,FALSE,"DCF";#N/A,#N/A,FALSE,"AUTO";#N/A,#N/A,FALSE,"Relative Trading";#N/A,#N/A,FALSE,"Mkt Val";#N/A,#N/A,FALSE,"Acq Val"}</definedName>
    <definedName name="Bank" localSheetId="25" hidden="1">{TRUE,TRUE,-1.25,-15.5,456.75,279.75,FALSE,FALSE,TRUE,TRUE,0,1,21,1,127,6,3,4,TRUE,TRUE,3,TRUE,1,TRUE,100,"Swvu.profits.","ACwvu.profits.",1,FALSE,FALSE,0.511811023622047,0.511811023622047,0.511811023622047,0.511811023622047,1,"","",FALSE,FALSE,FALSE,FALSE,1,#N/A,1,1,#DIV/0!,FALSE,"Rwvu.profits.",#N/A,FALSE,FALSE}</definedName>
    <definedName name="bank1" localSheetId="25" hidden="1">{TRUE,TRUE,-1.25,-15.5,456.75,279.75,FALSE,FALSE,TRUE,TRUE,0,1,21,1,127,6,3,4,TRUE,TRUE,3,TRUE,1,TRUE,100,"Swvu.profits.","ACwvu.profits.",1,FALSE,FALSE,0.511811023622047,0.511811023622047,0.511811023622047,0.511811023622047,1,"","",FALSE,FALSE,FALSE,FALSE,1,#N/A,1,1,#DIV/0!,FALSE,"Rwvu.profits.",#N/A,FALSE,FALSE}</definedName>
    <definedName name="basf" localSheetId="25" hidden="1">{"bs",#N/A,FALSE,"SCF"}</definedName>
    <definedName name="bb" localSheetId="25" hidden="1">{#N/A,#N/A,FALSE,"Projections";#N/A,#N/A,FALSE,"AccrDil";#N/A,#N/A,FALSE,"PurchPriMult";#N/A,#N/A,FALSE,"Mults7_13";#N/A,#N/A,FALSE,"Mkt Mults";#N/A,#N/A,FALSE,"Acq Mults";#N/A,#N/A,FALSE,"StockPrices";#N/A,#N/A,FALSE,"Prem Paid";#N/A,#N/A,FALSE,"DCF";#N/A,#N/A,FALSE,"AUTO";#N/A,#N/A,FALSE,"Relative Trading";#N/A,#N/A,FALSE,"Mkt Val";#N/A,#N/A,FALSE,"Acq Val"}</definedName>
    <definedName name="bbb"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bbbb" localSheetId="25" hidden="1">{#N/A,#N/A,FALSE,"REPORT"}</definedName>
    <definedName name="bbbbb" localSheetId="25" hidden="1">{#N/A,#N/A,FALSE,"Pharm";#N/A,#N/A,FALSE,"WWCM"}</definedName>
    <definedName name="BBBBBB" localSheetId="25" hidden="1">{#N/A,#N/A,FALSE,"REPORT"}</definedName>
    <definedName name="BBBBBBBBB" localSheetId="25" hidden="1">{#N/A,#N/A,FALSE,"REPORT"}</definedName>
    <definedName name="bbbbbbbbbbbbb" localSheetId="25" hidden="1">{#N/A,#N/A,FALSE,"Pharm";#N/A,#N/A,FALSE,"WWCM"}</definedName>
    <definedName name="BBD" localSheetId="25" hidden="1">{#N/A,#N/A,FALSE,"PRJCTED QTRLY QTY's"}</definedName>
    <definedName name="bbt" localSheetId="25" hidden="1">{#N/A,#N/A,FALSE,"DI 2 YEAR MASTER SCHEDULE"}</definedName>
    <definedName name="beacua" localSheetId="25" hidden="1">{"Headcount Worksheet",#N/A,FALSE,"HEADCOUNT"}</definedName>
    <definedName name="Bear" localSheetId="25" hidden="1">{#N/A,#N/A,FALSE,"TS";#N/A,#N/A,FALSE,"Combo";#N/A,#N/A,FALSE,"FAIR";#N/A,#N/A,FALSE,"RBC";#N/A,#N/A,FALSE,"xxxx";#N/A,#N/A,FALSE,"A_D";#N/A,#N/A,FALSE,"WACC";#N/A,#N/A,FALSE,"DCF";#N/A,#N/A,FALSE,"LBO";#N/A,#N/A,FALSE,"AcqMults";#N/A,#N/A,FALSE,"CompMults"}</definedName>
    <definedName name="bear2" localSheetId="25" hidden="1">{#N/A,#N/A,FALSE,"TS";#N/A,#N/A,FALSE,"Combo";#N/A,#N/A,FALSE,"FAIR";#N/A,#N/A,FALSE,"RBC";#N/A,#N/A,FALSE,"xxxx";#N/A,#N/A,FALSE,"A_D";#N/A,#N/A,FALSE,"WACC";#N/A,#N/A,FALSE,"DCF";#N/A,#N/A,FALSE,"LBO";#N/A,#N/A,FALSE,"AcqMults";#N/A,#N/A,FALSE,"CompMults"}</definedName>
    <definedName name="belnew" localSheetId="25" hidden="1">{"IS",#N/A,FALSE,"IS";"RPTIS",#N/A,FALSE,"RPTIS";"STATS",#N/A,FALSE,"STATS";"CELL",#N/A,FALSE,"CELL";"BS",#N/A,FALSE,"BS"}</definedName>
    <definedName name="belnew1" localSheetId="25" hidden="1">{"IS",#N/A,FALSE,"IS";"RPTIS",#N/A,FALSE,"RPTIS";"STATS",#N/A,FALSE,"STATS";"CELL",#N/A,FALSE,"CELL";"BS",#N/A,FALSE,"BS"}</definedName>
    <definedName name="belnew2" localSheetId="25" hidden="1">{"IS",#N/A,FALSE,"IS";"RPTIS",#N/A,FALSE,"RPTIS";"STATS",#N/A,FALSE,"STATS";"CELL",#N/A,FALSE,"CELL";"BS",#N/A,FALSE,"BS"}</definedName>
    <definedName name="berry" localSheetId="25" hidden="1">{#N/A,#N/A,FALSE,"Taxblinc";#N/A,#N/A,FALSE,"Rsvsacls"}</definedName>
    <definedName name="BExGS09Y00R295FQF4OCD3UZVDBE" localSheetId="1" hidden="1">query_Standard #REF!</definedName>
    <definedName name="BExGS09Y00R295FQF4OCD3UZVDBE" localSheetId="3" hidden="1">query_Standard #REF!</definedName>
    <definedName name="BExGS09Y00R295FQF4OCD3UZVDBE" localSheetId="25" hidden="1">query_Standard #REF!</definedName>
    <definedName name="BExGS09Y00R295FQF4OCD3UZVDBE" localSheetId="2" hidden="1">query_Standard #REF!</definedName>
    <definedName name="BExGS09Y00R295FQF4OCD3UZVDBE" localSheetId="6" hidden="1">query_Standard #REF!</definedName>
    <definedName name="BExGS09Y00R295FQF4OCD3UZVDBE" localSheetId="4" hidden="1">query_Standard #REF!</definedName>
    <definedName name="BExSBB5BB2NTOBYTX7MDBWRM5SBC" localSheetId="1" hidden="1">query_Standard #REF!</definedName>
    <definedName name="BExSBB5BB2NTOBYTX7MDBWRM5SBC" localSheetId="3" hidden="1">query_Standard #REF!</definedName>
    <definedName name="BExSBB5BB2NTOBYTX7MDBWRM5SBC" localSheetId="25" hidden="1">query_Standard #REF!</definedName>
    <definedName name="BExSBB5BB2NTOBYTX7MDBWRM5SBC" localSheetId="2" hidden="1">query_Standard #REF!</definedName>
    <definedName name="BExSBB5BB2NTOBYTX7MDBWRM5SBC" localSheetId="6" hidden="1">query_Standard #REF!</definedName>
    <definedName name="BExSBB5BB2NTOBYTX7MDBWRM5SBC" localSheetId="4" hidden="1">query_Standard #REF!</definedName>
    <definedName name="bgh" localSheetId="25" hidden="1">{"histincome",#N/A,FALSE,"hyfins";"closing balance",#N/A,FALSE,"hyfins"}</definedName>
    <definedName name="bill"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bill1" localSheetId="25" hidden="1">{"PAGE 1",#N/A,FALSE,"WEST_OT"}</definedName>
    <definedName name="bill2" localSheetId="25" hidden="1">{"PAGE 1",#N/A,FALSE,"WEST_OT"}</definedName>
    <definedName name="bill3" localSheetId="25" hidden="1">{"PAGE 1",#N/A,FALSE,"WEST_OT"}</definedName>
    <definedName name="billrev2" localSheetId="25" hidden="1">{"PAGE 1",#N/A,FALSE,"WEST_OT"}</definedName>
    <definedName name="blah" localSheetId="25" hidden="1">{#N/A,#N/A,FALSE,"TEL Monthly Inc";#N/A,#N/A,FALSE,"TEL REVENUE";#N/A,#N/A,FALSE,"Tel - Manpower";#N/A,#N/A,FALSE,"Tel Sales Support";#N/A,#N/A,FALSE,"SI - TELCO";#N/A,#N/A,FALSE,"Sales - Telco";#N/A,#N/A,FALSE,"Tel - Mktg";#N/A,#N/A,FALSE,"Tel - Mktg"}</definedName>
    <definedName name="blsm" localSheetId="25" hidden="1">{#N/A,#N/A,FALSE,"UTIL Monthly Inc ";#N/A,#N/A,FALSE,"Capital";#N/A,#N/A,FALSE,"UTIL REVENUE";#N/A,#N/A,FALSE,"RM REVENUE";#N/A,#N/A,FALSE,"Manpower";#N/A,#N/A,FALSE,"SI - UTIL";#N/A,#N/A,FALSE,"Sales - Utili"}</definedName>
    <definedName name="bnm" localSheetId="25" hidden="1">{#N/A,#N/A,FALSE,"REPORT"}</definedName>
    <definedName name="bnnn" localSheetId="25" hidden="1">{"consolidated",#N/A,FALSE,"Sheet1";"cms",#N/A,FALSE,"Sheet1";"fse",#N/A,FALSE,"Sheet1"}</definedName>
    <definedName name="bog"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Bonus" localSheetId="25" hidden="1">{#N/A,#N/A,FALSE,"Return";#N/A,#N/A,FALSE,"BalSheet";#N/A,#N/A,FALSE,"IncStmt";#N/A,#N/A,FALSE,"Prod";#N/A,#N/A,FALSE,"Adjust";#N/A,#N/A,FALSE,"Input";#N/A,#N/A,FALSE,"Mkt1"}</definedName>
    <definedName name="bpp" localSheetId="25" hidden="1">{#N/A,#N/A,TRUE,"DCF Summary (2)";#N/A,#N/A,TRUE,"DCF Summary";#N/A,"Middle Case Drivers",TRUE,"DCF"}</definedName>
    <definedName name="BROWN" localSheetId="25"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vwrg" localSheetId="25"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bye" localSheetId="25" hidden="1">{#N/A,#N/A,FALSE,"Aging Summary";#N/A,#N/A,FALSE,"Ratio Analysis";#N/A,#N/A,FALSE,"Test 120 Day Accts";#N/A,#N/A,FALSE,"Tickmarks"}</definedName>
    <definedName name="cantrib3" localSheetId="25" hidden="1">{"page1",#N/A,FALSE,"Temp";"page2",#N/A,FALSE,"Temp";"page3",#N/A,FALSE,"Temp";"page4",#N/A,FALSE,"Temp";"page5",#N/A,FALSE,"Temp";"page6",#N/A,FALSE,"Temp"}</definedName>
    <definedName name="Cap" localSheetId="25" hidden="1">{TRUE,TRUE,-1.25,-15.5,456.75,279.75,FALSE,FALSE,TRUE,TRUE,0,1,18,1,199,6,3,4,TRUE,TRUE,3,TRUE,1,TRUE,100,"Swvu.cash.","ACwvu.cash.",1,FALSE,FALSE,0.511811023622047,0.511811023622047,0.511811023622047,0.511811023622047,1,"","",FALSE,FALSE,FALSE,FALSE,1,#N/A,1,1,#DIV/0!,FALSE,"Rwvu.cash.",#N/A,FALSE,FALSE}</definedName>
    <definedName name="Capacity" localSheetId="25" hidden="1">{#N/A,#N/A,FALSE,"IPO";#N/A,#N/A,FALSE,"DCF";#N/A,#N/A,FALSE,"LBO";#N/A,#N/A,FALSE,"MULT_VAL";#N/A,#N/A,FALSE,"Status Quo";#N/A,#N/A,FALSE,"Recap"}</definedName>
    <definedName name="Capex" localSheetId="25" hidden="1">{"bs",#N/A,FALSE,"SCF"}</definedName>
    <definedName name="Capex2" localSheetId="25" hidden="1">{"bs",#N/A,FALSE,"SCF"}</definedName>
    <definedName name="cAPITAL" localSheetId="25" hidden="1">{"OPERATIONS",#N/A,FALSE,"MONTHLY SUMMARY";"CUSTOMER SERVICE",#N/A,FALSE,"MONTHLY SUMMARY";"ENGINEERING",#N/A,FALSE,"MONTHLY SUMMARY";"SALES WEST",#N/A,FALSE,"MONTHLY SUMMARY";"OPERATIONS EAST",#N/A,FALSE,"MONTHLY SUMMARY";"SALES EAST",#N/A,FALSE,"MONTHLY SUMMARY";"MARKETING",#N/A,FALSE,"MONTHLY SUMMARY";"MARKETING",#N/A,FALSE,"MONTHLY SUMMARY";"QUALITY CONTROL",#N/A,FALSE,"MONTHLY SUMMARY";"PURCHASING",#N/A,FALSE,"MONTHLY SUMMARY"}</definedName>
    <definedName name="CAPITAL1" localSheetId="25" hidden="1">{"OPERATIONS",#N/A,FALSE,"MONTHLY SUMMARY";"CUSTOMER SERVICE",#N/A,FALSE,"MONTHLY SUMMARY";"ENGINEERING",#N/A,FALSE,"MONTHLY SUMMARY";"SALES WEST",#N/A,FALSE,"MONTHLY SUMMARY";"OPERATIONS EAST",#N/A,FALSE,"MONTHLY SUMMARY";"SALES EAST",#N/A,FALSE,"MONTHLY SUMMARY";"MARKETING",#N/A,FALSE,"MONTHLY SUMMARY";"MARKETING",#N/A,FALSE,"MONTHLY SUMMARY";"QUALITY CONTROL",#N/A,FALSE,"MONTHLY SUMMARY";"PURCHASING",#N/A,FALSE,"MONTHLY SUMMARY"}</definedName>
    <definedName name="cat" localSheetId="25" hidden="1">{#N/A,#N/A,FALSE,"Taxblinc";#N/A,#N/A,FALSE,"Rsvsacls"}</definedName>
    <definedName name="cawc" localSheetId="25"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cc" localSheetId="25" hidden="1">{#N/A,#N/A,FALSE,"SUMMARY";#N/A,#N/A,FALSE,"TECHNOLOGY";#N/A,#N/A,FALSE,"YEAR2000";#N/A,#N/A,FALSE,"GENERAL SERVICES";#N/A,#N/A,FALSE,"PROD MANAGE";#N/A,#N/A,FALSE,"BOG";#N/A,#N/A,FALSE,"PROT CONT";#N/A,#N/A,FALSE,"INVEST COMP"}</definedName>
    <definedName name="ccc" localSheetId="25" hidden="1">{#N/A,#N/A,FALSE,"SUMMARY";#N/A,#N/A,FALSE,"TECHNOLOGY";#N/A,#N/A,FALSE,"YEAR2000";#N/A,#N/A,FALSE,"GENERAL SERVICES";#N/A,#N/A,FALSE,"PROD MANAGE";#N/A,#N/A,FALSE,"BOG";#N/A,#N/A,FALSE,"PROT CONT";#N/A,#N/A,FALSE,"INVEST COMP"}</definedName>
    <definedName name="cccc" localSheetId="25" hidden="1">{#N/A,#N/A,FALSE,"Layout Cash Flow"}</definedName>
    <definedName name="ccccc" localSheetId="25" hidden="1">{#N/A,#N/A,FALSE,"Layout Cash Flow"}</definedName>
    <definedName name="cd0" localSheetId="25" hidden="1">{#N/A,#N/A,FALSE,"Job Sched"}</definedName>
    <definedName name="CDW" localSheetId="25" hidden="1">{#N/A,#N/A,FALSE,"Job Sched"}</definedName>
    <definedName name="cev" localSheetId="25" hidden="1">{"Headcount Worksheet",#N/A,FALSE,"HEADCOUNT"}</definedName>
    <definedName name="Chart" localSheetId="25" hidden="1">{#N/A,#N/A,FALSE,"Pharm";#N/A,#N/A,FALSE,"WWCM"}</definedName>
    <definedName name="chartNew" localSheetId="25" hidden="1">{#N/A,#N/A,FALSE,"SUMMARY";#N/A,#N/A,FALSE,"mcsh";#N/A,#N/A,FALSE,"vol&amp;rev";#N/A,#N/A,FALSE,"wkgcap";#N/A,#N/A,FALSE,"DEPR&amp;DT";#N/A,#N/A,FALSE,"ASSETS";#N/A,#N/A,FALSE,"NI&amp;OTH&amp;DIV";#N/A,#N/A,FALSE,"CASHFLOW";#N/A,#N/A,FALSE,"CAPEMPL";#N/A,#N/A,FALSE,"ROCE"}</definedName>
    <definedName name="chi" localSheetId="25" hidden="1">{"FN_JE98",#N/A,FALSE,"98 W Options"}</definedName>
    <definedName name="chik" localSheetId="25" hidden="1">{#N/A,#N/A,FALSE,"Summary";#N/A,#N/A,FALSE,"1991";#N/A,#N/A,FALSE,"91 AMT";#N/A,#N/A,FALSE,"1992";#N/A,#N/A,FALSE,"92 AMT";#N/A,#N/A,FALSE,"1993";#N/A,#N/A,FALSE,"93 AMT"}</definedName>
    <definedName name="chosie" localSheetId="25" hidden="1">{#N/A,#N/A,FALSE,"Pharm";#N/A,#N/A,FALSE,"WWCM"}</definedName>
    <definedName name="COGS" localSheetId="25" hidden="1">{#N/A,#N/A,FALSE,"Aging Summary";#N/A,#N/A,FALSE,"Ratio Analysis";#N/A,#N/A,FALSE,"Test 120 Day Accts";#N/A,#N/A,FALSE,"Tickmarks"}</definedName>
    <definedName name="COGstandard" localSheetId="25" hidden="1">{#N/A,#N/A,FALSE,"Pharm";#N/A,#N/A,FALSE,"WWCM"}</definedName>
    <definedName name="com" localSheetId="25" hidden="1">{#N/A,#N/A,FALSE,"SUMMARY";#N/A,#N/A,FALSE,"TECHNOLOGY";#N/A,#N/A,FALSE,"YEAR2000";#N/A,#N/A,FALSE,"GENERAL SERVICES";#N/A,#N/A,FALSE,"PROD MANAGE";#N/A,#N/A,FALSE,"BOG";#N/A,#N/A,FALSE,"PROT CONT";#N/A,#N/A,FALSE,"INVEST COMP"}</definedName>
    <definedName name="Combined" localSheetId="25" hidden="1">{#N/A,#N/A,FALSE,"OnePager"}</definedName>
    <definedName name="Comm" localSheetId="25" hidden="1">{#N/A,#N/A,FALSE,"Return";#N/A,#N/A,FALSE,"BalSheet";#N/A,#N/A,FALSE,"IncStmt";#N/A,#N/A,FALSE,"Prod";#N/A,#N/A,FALSE,"Adjust";#N/A,#N/A,FALSE,"Input";#N/A,#N/A,FALSE,"Mkt1"}</definedName>
    <definedName name="comm2" localSheetId="25" hidden="1">{"PAGE 1",#N/A,FALSE,"WEST_OT"}</definedName>
    <definedName name="comm3" localSheetId="25" hidden="1">{"PAGE 1",#N/A,FALSE,"WEST_OT"}</definedName>
    <definedName name="COMMERCIAL" localSheetId="25" hidden="1">{#N/A,#N/A,FALSE,"SUMMARY";#N/A,#N/A,FALSE,"TECHNOLOGY";#N/A,#N/A,FALSE,"YEAR2000";#N/A,#N/A,FALSE,"GENERAL SERVICES";#N/A,#N/A,FALSE,"PROD MANAGE";#N/A,#N/A,FALSE,"BOG";#N/A,#N/A,FALSE,"PROT CONT";#N/A,#N/A,FALSE,"INVEST COMP"}</definedName>
    <definedName name="commrev2" localSheetId="25" hidden="1">{"PAGE 1",#N/A,FALSE,"WEST_OT"}</definedName>
    <definedName name="Compco1" localSheetId="25" hidden="1">{"Page1",#N/A,FALSE,"CompCo";"Page2",#N/A,FALSE,"CompCo"}</definedName>
    <definedName name="Compco2" localSheetId="25" hidden="1">{"Page1",#N/A,FALSE,"CompCo";"Page2",#N/A,FALSE,"CompCo"}</definedName>
    <definedName name="consol" localSheetId="25" hidden="1">{"Assets",#N/A,FALSE,"Balance Sheet";"Liabilities",#N/A,FALSE,"Balance Sheet"}</definedName>
    <definedName name="contrib2" localSheetId="25" hidden="1">{"page1",#N/A,FALSE,"Temp";"page2",#N/A,FALSE,"Temp";"page3",#N/A,FALSE,"Temp";"page4",#N/A,FALSE,"Temp";"page5",#N/A,FALSE,"Temp";"page6",#N/A,FALSE,"Temp"}</definedName>
    <definedName name="copy1" localSheetId="25" hidden="1">{#N/A,#N/A,FALSE,"Pharm";#N/A,#N/A,FALSE,"WWCM"}</definedName>
    <definedName name="COPY2" localSheetId="25" hidden="1">{#N/A,#N/A,FALSE,"Pharm";#N/A,#N/A,FALSE,"WWCM"}</definedName>
    <definedName name="copy233" localSheetId="25" hidden="1">{#N/A,#N/A,FALSE,"Pharm";#N/A,#N/A,FALSE,"WWCM"}</definedName>
    <definedName name="copy33" localSheetId="25" hidden="1">{#N/A,#N/A,FALSE,"Pharm";#N/A,#N/A,FALSE,"WWCM"}</definedName>
    <definedName name="copy38" localSheetId="25" hidden="1">{#N/A,#N/A,FALSE,"Pharm";#N/A,#N/A,FALSE,"WWCM"}</definedName>
    <definedName name="CS" localSheetId="25" hidden="1">{#N/A,#N/A,TRUE,"Statements";#N/A,#N/A,TRUE,"Capital";#N/A,#N/A,TRUE,"TOT Monthly Inc";#N/A,#N/A,TRUE,"TOT REVENUE";#N/A,#N/A,TRUE,"Manpower";#N/A,#N/A,TRUE,"Overheads";#N/A,#N/A,TRUE,"Salary";#N/A,#N/A,TRUE,"Admin";#N/A,#N/A,TRUE,"Barbados";#N/A,#N/A,TRUE,"Product Mktg";#N/A,#N/A,TRUE,"CONS - SI";#N/A,#N/A,TRUE,"PROJECTS";#N/A,#N/A,TRUE,"R&amp;D";#N/A,#N/A,TRUE,"Cons S&amp;M";#N/A,#N/A,TRUE,"Mktg"}</definedName>
    <definedName name="CUSTOMER" localSheetId="25" hidden="1">{#N/A,#N/A,FALSE,"Summary";#N/A,#N/A,FALSE,"Manpower";#N/A,#N/A,FALSE,"Richmond";#N/A,#N/A,FALSE,"Itasca";#N/A,#N/A,FALSE,"Cambridge";#N/A,#N/A,FALSE,"Development";#N/A,#N/A,FALSE,"Customer Eng'g";#N/A,#N/A,FALSE,"Richmond R&amp;D Projects";#N/A,#N/A,FALSE,"Itasca R&amp;D Projects";#N/A,#N/A,FALSE,"Cambridge R&amp;D Projects"}</definedName>
    <definedName name="Customers" localSheetId="25" hidden="1">{#N/A,#N/A,FALSE,"1996";#N/A,#N/A,FALSE,"1995";#N/A,#N/A,FALSE,"1994"}</definedName>
    <definedName name="cxaa" localSheetId="25" hidden="1">{#N/A,#N/A,FALSE,"Adj Proj";#N/A,#N/A,FALSE,"Sheet1";#N/A,#N/A,FALSE,"LBO";#N/A,#N/A,FALSE,"LBOMER";#N/A,#N/A,FALSE,"WACC";#N/A,#N/A,FALSE,"DCF";#N/A,#N/A,FALSE,"DCFMER";#N/A,#N/A,FALSE,"Pooling";#N/A,#N/A,FALSE,"income";#N/A,#N/A,FALSE,"Offer"}</definedName>
    <definedName name="D" localSheetId="25" hidden="1">{#N/A,#N/A,FALSE,"AD_Purch";#N/A,#N/A,FALSE,"Projections";#N/A,#N/A,FALSE,"DCF";#N/A,#N/A,FALSE,"Mkt Val"}</definedName>
    <definedName name="DAD" localSheetId="25" hidden="1">{#N/A,#N/A,FALSE,"REPORT"}</definedName>
    <definedName name="DADF" localSheetId="25" hidden="1">{#N/A,#N/A,FALSE,"REPORT"}</definedName>
    <definedName name="daf" localSheetId="25" hidden="1">{#N/A,#N/A,FALSE,"1";#N/A,#N/A,FALSE,"2";#N/A,#N/A,FALSE,"16 - 17";#N/A,#N/A,FALSE,"18 - 19";#N/A,#N/A,FALSE,"26";#N/A,#N/A,FALSE,"27";#N/A,#N/A,FALSE,"28"}</definedName>
    <definedName name="dafdsaf" localSheetId="25" hidden="1">{"incomemth",#N/A,TRUE,"forecast00";"incomepercentmth",#N/A,TRUE,"forecast00";"balancemth",#N/A,TRUE,"forecast00";"cashmth",#N/A,TRUE,"forecast00";"covenantmth",#N/A,TRUE,"forecast00"}</definedName>
    <definedName name="dafsaf1" localSheetId="25" hidden="1">{"incomemth",#N/A,TRUE,"forecast00";"incomepercentmth",#N/A,TRUE,"forecast00";"balancemth",#N/A,TRUE,"forecast00";"cashmth",#N/A,TRUE,"forecast00";"covenantmth",#N/A,TRUE,"forecast00"}</definedName>
    <definedName name="dakfkjafgkeaj" localSheetId="25" hidden="1">{#N/A,#N/A,FALSE,"Pharm";#N/A,#N/A,FALSE,"WWCM"}</definedName>
    <definedName name="Dat" localSheetId="25"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ata_summary" localSheetId="25"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bed" localSheetId="25" hidden="1">{"histincome",#N/A,FALSE,"hyfins";"closing balance",#N/A,FALSE,"hyfins"}</definedName>
    <definedName name="DCF" localSheetId="2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CF_" localSheetId="25"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dd" localSheetId="25" hidden="1">{#N/A,#N/A,FALSE,"AD_Purch";#N/A,#N/A,FALSE,"Projections";#N/A,#N/A,FALSE,"DCF";#N/A,#N/A,FALSE,"Mkt Val"}</definedName>
    <definedName name="ddd" localSheetId="25" hidden="1">{#N/A,#N/A,FALSE,"SUMMARY";#N/A,#N/A,FALSE,"TECHNOLOGY";#N/A,#N/A,FALSE,"YEAR2000";#N/A,#N/A,FALSE,"GENERAL SERVICES";#N/A,#N/A,FALSE,"PROD MANAGE";#N/A,#N/A,FALSE,"BOG";#N/A,#N/A,FALSE,"PROT CONT";#N/A,#N/A,FALSE,"INVEST COMP"}</definedName>
    <definedName name="dddaz" localSheetId="25" hidden="1">{#N/A,#N/A,FALSE,"Pharm";#N/A,#N/A,FALSE,"WWCM"}</definedName>
    <definedName name="dddd" localSheetId="25" hidden="1">{#N/A,#N/A,FALSE,"AD_Purchase";#N/A,#N/A,FALSE,"Credit";#N/A,#N/A,FALSE,"PF Acquisition";#N/A,#N/A,FALSE,"PF Offering"}</definedName>
    <definedName name="ddddd" localSheetId="25" hidden="1">{"Summary Schedule",#N/A,FALSE,"Sheet1";"Divisional Support",#N/A,FALSE,"Sheet2";"Corporate Support",#N/A,FALSE,"Sheet3"}</definedName>
    <definedName name="dddddd" localSheetId="25" hidden="1">{#N/A,#N/A,FALSE,"Pharm";#N/A,#N/A,FALSE,"WWCM"}</definedName>
    <definedName name="dddddda" localSheetId="25" hidden="1">{"Summary Schedule",#N/A,FALSE,"Sheet1";"Divisional Support",#N/A,FALSE,"Sheet2";"Corporate Support",#N/A,FALSE,"Sheet3"}</definedName>
    <definedName name="ddddddddd" localSheetId="25"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ddde" localSheetId="25"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ddee" localSheetId="25" hidden="1">{#N/A,#N/A,FALSE,"Finanzbedarsrechnung"}</definedName>
    <definedName name="DE" localSheetId="25"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Debbie" localSheetId="25" hidden="1">{"FY03_Assets",#N/A,FALSE,"Fin Stmt Budget";"FY03_Liabilities",#N/A,FALSE,"Fin Stmt Budget";"FY03_Inc_Stmt",#N/A,FALSE,"Fin Stmt Budget";"FY03_SOCF",#N/A,FALSE,"Fin Stmt Budget"}</definedName>
    <definedName name="Dec95JobSched" localSheetId="25" hidden="1">{#N/A,#N/A,FALSE,"Job Sched"}</definedName>
    <definedName name="dede" localSheetId="25" hidden="1">{#N/A,#N/A,FALSE,"Pharm";#N/A,#N/A,FALSE,"WWCM"}</definedName>
    <definedName name="DEDED" localSheetId="25" hidden="1">{#N/A,#N/A,FALSE,"Card";#N/A,#N/A,FALSE,"Prav";#N/A,#N/A,FALSE,"Irbe";#N/A,#N/A,FALSE,"Plavix";#N/A,#N/A,FALSE,"Capt";#N/A,#N/A,FALSE,"Fosi"}</definedName>
    <definedName name="DEDEDZE" localSheetId="25" hidden="1">{#N/A,#N/A,FALSE,"Pharm";#N/A,#N/A,FALSE,"WWCM"}</definedName>
    <definedName name="DEDZD" localSheetId="25" hidden="1">{#N/A,#N/A,FALSE,"Pharm";#N/A,#N/A,FALSE,"WWCM"}</definedName>
    <definedName name="DEE" localSheetId="25" hidden="1">{#N/A,#N/A,FALSE,"Pharm";#N/A,#N/A,FALSE,"WWCM"}</definedName>
    <definedName name="del" localSheetId="25" hidden="1">{#N/A,#N/A,TRUE,"Table of Contents";#N/A,#N/A,TRUE,"Consol. Stmt of Operations";#N/A,#N/A,TRUE,"P&amp;L by Company vs. Plan";#N/A,#N/A,TRUE,"Segment Reporting";#N/A,#N/A,TRUE,"UW Results vs. Plan";#N/A,#N/A,TRUE,"NPW by Segment &amp; Type";#N/A,#N/A,TRUE,"Other UW Expense vs. Plan";#N/A,#N/A,TRUE,"EPS";#N/A,#N/A,TRUE,"Consol. Balance Sheet";#N/A,#N/A,TRUE,"Consol Balance Sheet by Company";#N/A,#N/A,TRUE,"Investment Summary";#N/A,#N/A,TRUE,"Investment Holdings";#N/A,#N/A,TRUE,"Accounts Receivable";#N/A,#N/A,TRUE,"Reserve &amp; Loss Analysis Summary"}</definedName>
    <definedName name="delete" localSheetId="25" hidden="1">{"NOTES",#N/A,FALSE,"NOTES";"EXECSUM",#N/A,FALSE,"EXECSUM"}</definedName>
    <definedName name="DEZLFEZKLHF" localSheetId="25" hidden="1">{#N/A,#N/A,FALSE,"Pharm";#N/A,#N/A,FALSE,"WWCM"}</definedName>
    <definedName name="df" localSheetId="25" hidden="1">{#N/A,#N/A,FALSE,"SUMMARY";#N/A,#N/A,FALSE,"TECHNOLOGY";#N/A,#N/A,FALSE,"YEAR2000";#N/A,#N/A,FALSE,"GENERAL SERVICES";#N/A,#N/A,FALSE,"PROD MANAGE";#N/A,#N/A,FALSE,"BOG";#N/A,#N/A,FALSE,"PROT CONT";#N/A,#N/A,FALSE,"INVEST COMP"}</definedName>
    <definedName name="DFDD" localSheetId="25" hidden="1">{#N/A,#N/A,FALSE,"REPORT"}</definedName>
    <definedName name="dff" localSheetId="25" hidden="1">{"incomemth",#N/A,TRUE,"forecast01";"incpercentmth",#N/A,TRUE,"forecast01";"balancemth",#N/A,TRUE,"forecast01";"cashmth",#N/A,TRUE,"forecast01";"cov2mth",#N/A,TRUE,"forecast01";"prbexp",#N/A,TRUE,"forecast01";"prbcap",#N/A,TRUE,"forecast01";"coalconsultants",#N/A,TRUE,"forecast01";"prbsum",#N/A,TRUE,"forecast01"}</definedName>
    <definedName name="dfg" localSheetId="25" hidden="1">{#N/A,#N/A,FALSE,"HuscoCombined-Summ";#N/A,#N/A,FALSE,"HuscoCombined-Income";#N/A,#N/A,FALSE,"HuscoCombined-Offering";#N/A,#N/A,FALSE,"Husco-Income";#N/A,#N/A,FALSE,"TargetEngineer";#N/A,#N/A,FALSE,"TargetAcqCalc";#N/A,#N/A,FALSE,"Husco-Acq"}</definedName>
    <definedName name="dfgdfg" localSheetId="25"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dfgdfgdfg" localSheetId="25" hidden="1">{#N/A,#N/A,FALSE,"Assump";#N/A,#N/A,FALSE,"Income";#N/A,#N/A,FALSE,"Balance";#N/A,#N/A,FALSE,"DCF Pump";#N/A,#N/A,FALSE,"Trans Assump";#N/A,#N/A,FALSE,"Combined Income";#N/A,#N/A,FALSE,"Combined Balance"}</definedName>
    <definedName name="dfgf" localSheetId="25" hidden="1">{#N/A,#N/A,TRUE,"Condensed IS";#N/A,#N/A,TRUE,"Condensed BS";#N/A,#N/A,TRUE,"Outlook";#N/A,#N/A,TRUE,"Condensed CF";#N/A,#N/A,TRUE,"Condensed CF - qtr"}</definedName>
    <definedName name="dfhsf" localSheetId="25"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dfk"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1New"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r" localSheetId="25" hidden="1">{#N/A,#N/A,FALSE,"Pharm";#N/A,#N/A,FALSE,"WWCM"}</definedName>
    <definedName name="dgdg" localSheetId="25" hidden="1">{#N/A,#N/A,FALSE,"Calc";#N/A,#N/A,FALSE,"Sensitivity";#N/A,#N/A,FALSE,"LT Earn.Dil.";#N/A,#N/A,FALSE,"Dil. AVP"}</definedName>
    <definedName name="dgdgss" localSheetId="25" hidden="1">{"consolidated",#N/A,FALSE,"Sheet1";"cms",#N/A,FALSE,"Sheet1";"fse",#N/A,FALSE,"Sheet1"}</definedName>
    <definedName name="djd"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New"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ksljd" localSheetId="25" hidden="1">{#N/A,#N/A,FALSE,"Other";#N/A,#N/A,FALSE,"Ace";#N/A,#N/A,FALSE,"Derm"}</definedName>
    <definedName name="dkfjdfNew"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s" localSheetId="25" hidden="1">{"IS",#N/A,FALSE,"IS";"RPTIS",#N/A,FALSE,"RPTIS";"STATS",#N/A,FALSE,"STATS";"BS",#N/A,FALSE,"BS"}</definedName>
    <definedName name="dkgahirghigf" localSheetId="25" hidden="1">{#N/A,#N/A,FALSE,"Pharm";#N/A,#N/A,FALSE,"WWCM"}</definedName>
    <definedName name="dkj"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l" localSheetId="25" hidden="1">{#N/A,#N/A,TRUE,"Table of Contents";#N/A,#N/A,TRUE,"Consol. Stmt of Operations";#N/A,#N/A,TRUE,"P&amp;L by Company vs. Plan";#N/A,#N/A,TRUE,"Segment Reporting";#N/A,#N/A,TRUE,"UW Results vs. Plan";#N/A,#N/A,TRUE,"NPW by Segment &amp; Type";#N/A,#N/A,TRUE,"Other UW Expense vs. Plan";#N/A,#N/A,TRUE,"EPS";#N/A,#N/A,TRUE,"Consol. Balance Sheet";#N/A,#N/A,TRUE,"Consol Balance Sheet by Company";#N/A,#N/A,TRUE,"Investment Summary";#N/A,#N/A,TRUE,"Investment Holdings";#N/A,#N/A,TRUE,"Accounts Receivable";#N/A,#N/A,TRUE,"Reserve &amp; Loss Analysis Summary"}</definedName>
    <definedName name="dog" localSheetId="25" hidden="1">{#N/A,#N/A,FALSE,"91NOLCB";#N/A,#N/A,FALSE,"92NOLCB";#N/A,#N/A,FALSE,"93NOLCB"}</definedName>
    <definedName name="dr" localSheetId="25" hidden="1">{"IS_all_dtls_05_06",#N/A,FALSE,"IS";#N/A,#N/A,FALSE,"CF";#N/A,#N/A,FALSE,"sgmts";#N/A,#N/A,FALSE,"BS";"calcs_05_06",#N/A,FALSE,"calcs"}</definedName>
    <definedName name="DRE" localSheetId="25" hidden="1">{#N/A,#N/A,FALSE,"Aging Summary";#N/A,#N/A,FALSE,"Ratio Analysis";#N/A,#N/A,FALSE,"Test 120 Day Accts";#N/A,#N/A,FALSE,"Tickmarks"}</definedName>
    <definedName name="dsaf" localSheetId="25" hidden="1">{"incomemth",#N/A,TRUE,"forecast01";"incpercentmth",#N/A,TRUE,"forecast01";"balancemth",#N/A,TRUE,"forecast01";"cashmth",#N/A,TRUE,"forecast01";"cov2mth",#N/A,TRUE,"forecast01";"prbexp",#N/A,TRUE,"forecast01";"prbcap",#N/A,TRUE,"forecast01";"coalconsultants",#N/A,TRUE,"forecast01";"prbsum",#N/A,TRUE,"forecast01"}</definedName>
    <definedName name="dsaf1" localSheetId="25" hidden="1">{"incomemth",#N/A,TRUE,"forecast01";"incpercentmth",#N/A,TRUE,"forecast01";"balancemth",#N/A,TRUE,"forecast01";"cashmth",#N/A,TRUE,"forecast01";"cov2mth",#N/A,TRUE,"forecast01";"prbexp",#N/A,TRUE,"forecast01";"prbcap",#N/A,TRUE,"forecast01";"coalconsultants",#N/A,TRUE,"forecast01";"prbsum",#N/A,TRUE,"forecast01"}</definedName>
    <definedName name="dsafd" localSheetId="25" hidden="1">{"COMBINED94",#N/A,FALSE,"BALANCE SHEET";"KRONE94",#N/A,FALSE,"BALANCE SHEET";"PENNTECH94",#N/A,FALSE,"BALANCE SHEET";"INTERSYSTEMS94",#N/A,FALSE,"BALANCE SHEET";"COMBINED94",#N/A,FALSE,"USCASH";"KRONE94",#N/A,FALSE,"USCASH";"PENNTECH94",#N/A,FALSE,"USCASH";"INTERSYSTEMS94",#N/A,FALSE,"USCASH"}</definedName>
    <definedName name="dsfsffss" localSheetId="25" hidden="1">{#N/A,#N/A,FALSE,"Pharm";#N/A,#N/A,FALSE,"WWCM"}</definedName>
    <definedName name="dsg" localSheetId="25" hidden="1">{#N/A,#N/A,FALSE,"Calc";#N/A,#N/A,FALSE,"Sensitivity";#N/A,#N/A,FALSE,"LT Earn.Dil.";#N/A,#N/A,FALSE,"Dil. AVP"}</definedName>
    <definedName name="DSO" localSheetId="25" hidden="1">{#N/A,#N/A,TRUE,"index";#N/A,#N/A,TRUE,"Summary";#N/A,#N/A,TRUE,"Continuing Business";#N/A,#N/A,TRUE,"Disposals";#N/A,#N/A,TRUE,"Acquisitions";#N/A,#N/A,TRUE,"Actual &amp; Plan Reconciliation"}</definedName>
    <definedName name="dss" localSheetId="25" hidden="1">{#N/A,#N/A,FALSE,"ACQ_GRAPHS";#N/A,#N/A,FALSE,"T_1 GRAPHS";#N/A,#N/A,FALSE,"T_2 GRAPHS";#N/A,#N/A,FALSE,"COMB_GRAPHS"}</definedName>
    <definedName name="dsss" localSheetId="25" hidden="1">{"incomemth",#N/A,TRUE,"forecast01";"incpercentmth",#N/A,TRUE,"forecast01";"balancemth",#N/A,TRUE,"forecast01";"cashmth",#N/A,TRUE,"forecast01";"cov2mth",#N/A,TRUE,"forecast01";"prbexp",#N/A,TRUE,"forecast01";"prbcap",#N/A,TRUE,"forecast01";"coalconsultants",#N/A,TRUE,"forecast01";"prbsum",#N/A,TRUE,"forecast01"}</definedName>
    <definedName name="dsss1" localSheetId="25" hidden="1">{"incomemth",#N/A,TRUE,"forecast01";"incpercentmth",#N/A,TRUE,"forecast01";"balancemth",#N/A,TRUE,"forecast01";"cashmth",#N/A,TRUE,"forecast01";"cov2mth",#N/A,TRUE,"forecast01";"prbexp",#N/A,TRUE,"forecast01";"prbcap",#N/A,TRUE,"forecast01";"coalconsultants",#N/A,TRUE,"forecast01";"prbsum",#N/A,TRUE,"forecast01"}</definedName>
    <definedName name="dt" localSheetId="25" hidden="1">{#N/A,#N/A,TRUE,"cover";#N/A,#N/A,TRUE,"highlights";#N/A,#N/A,TRUE,"Balance sheet -condensed";#N/A,#N/A,TRUE,"Consol Inc Statment";#N/A,#N/A,TRUE,"EPS";#N/A,#N/A,TRUE,"incstmt seg";#N/A,#N/A,TRUE,"incstmt seg PY";#N/A,#N/A,TRUE,"prem by reg";#N/A,#N/A,TRUE,"prem by lob";#N/A,#N/A,TRUE,"ratios";#N/A,#N/A,TRUE,"inv port";#N/A,#N/A,TRUE,"loss analysis"}</definedName>
    <definedName name="Duper" localSheetId="25" hidden="1">{#N/A,#N/A,FALSE,"Summary";#N/A,#N/A,FALSE,"Projections";#N/A,#N/A,FALSE,"Mkt Mults";#N/A,#N/A,FALSE,"DCF";#N/A,#N/A,FALSE,"Accr Dil";#N/A,#N/A,FALSE,"PIC LBO";#N/A,#N/A,FALSE,"MULT10_4";#N/A,#N/A,FALSE,"CBI LBO"}</definedName>
    <definedName name="dvdfv" localSheetId="25" hidden="1">{"VWJECAN",#N/A,FALSE,"D"}</definedName>
    <definedName name="dwcwc" localSheetId="25" hidden="1">{#N/A,#N/A,FALSE,"Assump";#N/A,#N/A,FALSE,"Income";#N/A,#N/A,FALSE,"Balance";#N/A,#N/A,FALSE,"DCF Pump";#N/A,#N/A,FALSE,"Trans Assump";#N/A,#N/A,FALSE,"Combined Income";#N/A,#N/A,FALSE,"Combined Balance"}</definedName>
    <definedName name="East" localSheetId="25"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coast" localSheetId="25" hidden="1">{"FY04_Assets",#N/A,FALSE,"Fin Stmt Budget";"FY04_Liabilities",#N/A,FALSE,"Fin Stmt Budget";"FY04_Inc_Stmt",#N/A,FALSE,"Fin Stmt Budget";"FY04_SOCF",#N/A,FALSE,"Fin Stmt Budget"}</definedName>
    <definedName name="Eastern" localSheetId="25" hidden="1">{"FY03_Assets",#N/A,FALSE,"Fin Stmt Budget";"FY03_Liabilities",#N/A,FALSE,"Fin Stmt Budget";"FY03_Inc_Stmt",#N/A,FALSE,"Fin Stmt Budget";"FY03_SOCF",#N/A,FALSE,"Fin Stmt Budget"}</definedName>
    <definedName name="ee" localSheetId="25" hidden="1">{#N/A,#N/A,FALSE,"SUMMARY";#N/A,#N/A,FALSE,"TECHNOLOGY";#N/A,#N/A,FALSE,"YEAR2000";#N/A,#N/A,FALSE,"GENERAL SERVICES";#N/A,#N/A,FALSE,"PROD MANAGE";#N/A,#N/A,FALSE,"BOG";#N/A,#N/A,FALSE,"PROT CONT";#N/A,#N/A,FALSE,"INVEST COMP"}</definedName>
    <definedName name="eee" localSheetId="25" hidden="1">{#N/A,#N/A,FALSE,"SUMMARY";#N/A,#N/A,FALSE,"TECHNOLOGY";#N/A,#N/A,FALSE,"YEAR2000";#N/A,#N/A,FALSE,"GENERAL SERVICES";#N/A,#N/A,FALSE,"PROD MANAGE";#N/A,#N/A,FALSE,"BOG";#N/A,#N/A,FALSE,"PROT CONT";#N/A,#N/A,FALSE,"INVEST COMP"}</definedName>
    <definedName name="eeeee" localSheetId="25" hidden="1">{#N/A,#N/A,FALSE,"Pharm";#N/A,#N/A,FALSE,"WWCM"}</definedName>
    <definedName name="eeeeeeee" localSheetId="25" hidden="1">{"BS Consol without Elims",#N/A,FALSE,"0598 - Consol ";"BS Consol with Elims",#N/A,FALSE,"0598 - Consol ";"BS without Elims",#N/A,FALSE,"0598";"BS with Elims",#N/A,FALSE,"0598"}</definedName>
    <definedName name="eerre" localSheetId="25" hidden="1">{"OPERATIONS",#N/A,FALSE,"MONTHLY SUMMARY";"CUSTOMER SERVICE",#N/A,FALSE,"MONTHLY SUMMARY";"ENGINEERING",#N/A,FALSE,"MONTHLY SUMMARY";"SALES WEST",#N/A,FALSE,"MONTHLY SUMMARY";"OPERATIONS EAST",#N/A,FALSE,"MONTHLY SUMMARY";"SALES EAST",#N/A,FALSE,"MONTHLY SUMMARY";"MARKETING",#N/A,FALSE,"MONTHLY SUMMARY";"MARKETING",#N/A,FALSE,"MONTHLY SUMMARY";"QUALITY CONTROL",#N/A,FALSE,"MONTHLY SUMMARY";"PURCHASING",#N/A,FALSE,"MONTHLY SUMMARY"}</definedName>
    <definedName name="EERREE" localSheetId="25" hidden="1">{"OPERATIONS",#N/A,FALSE,"MONTHLY SUMMARY";"CUSTOMER SERVICE",#N/A,FALSE,"MONTHLY SUMMARY";"ENGINEERING",#N/A,FALSE,"MONTHLY SUMMARY";"SALES WEST",#N/A,FALSE,"MONTHLY SUMMARY";"OPERATIONS EAST",#N/A,FALSE,"MONTHLY SUMMARY";"SALES EAST",#N/A,FALSE,"MONTHLY SUMMARY";"MARKETING",#N/A,FALSE,"MONTHLY SUMMARY";"MARKETING",#N/A,FALSE,"MONTHLY SUMMARY";"QUALITY CONTROL",#N/A,FALSE,"MONTHLY SUMMARY";"PURCHASING",#N/A,FALSE,"MONTHLY SUMMARY"}</definedName>
    <definedName name="EISXXX" localSheetId="25" hidden="1">{#N/A,#N/A,FALSE,"assump";#N/A,#N/A,FALSE,"open";#N/A,#N/A,FALSE,"bs";#N/A,#N/A,FALSE,"is";#N/A,#N/A,FALSE,"cf"}</definedName>
    <definedName name="ejkfgkjze" localSheetId="25" hidden="1">{#N/A,#N/A,FALSE,"Pharm";#N/A,#N/A,FALSE,"WWCM"}</definedName>
    <definedName name="emily" localSheetId="25" hidden="1">{#N/A,#N/A,FALSE,"Calc";#N/A,#N/A,FALSE,"Sensitivity";#N/A,#N/A,FALSE,"LT Earn.Dil.";#N/A,#N/A,FALSE,"Dil. AVP"}</definedName>
    <definedName name="Eng" localSheetId="25" hidden="1">{"PAGE 1",#N/A,FALSE,"WEST_OT"}</definedName>
    <definedName name="enough" localSheetId="25" hidden="1">{"Data Worksheet",#N/A,FALSE,"CAREY97"}</definedName>
    <definedName name="er" localSheetId="25" hidden="1">{#N/A,#N/A,FALSE,"SUMMARY";#N/A,#N/A,FALSE,"TECHNOLOGY";#N/A,#N/A,FALSE,"YEAR2000";#N/A,#N/A,FALSE,"GENERAL SERVICES";#N/A,#N/A,FALSE,"PROD MANAGE";#N/A,#N/A,FALSE,"BOG";#N/A,#N/A,FALSE,"PROT CONT";#N/A,#N/A,FALSE,"INVEST COMP"}</definedName>
    <definedName name="EraseMe" localSheetId="25" hidden="1">{#N/A,#N/A,FALSE,"Job Sched"}</definedName>
    <definedName name="erd" localSheetId="25" hidden="1">{#N/A,#N/A,FALSE,"Pharm";#N/A,#N/A,FALSE,"WWCM"}</definedName>
    <definedName name="erryeyetyuu" localSheetId="25" hidden="1">{#N/A,#N/A,FALSE,"Pharm";#N/A,#N/A,FALSE,"WWCM"}</definedName>
    <definedName name="ert" localSheetId="25" hidden="1">{#N/A,#N/A,FALSE,"Projections";#N/A,#N/A,FALSE,"Acq Mult";#N/A,#N/A,FALSE,"TWER Mult";#N/A,#N/A,FALSE,"DCF EBITDA";#N/A,#N/A,FALSE,"DCF EBIT";#N/A,#N/A,FALSE,"Debt Accr";#N/A,#N/A,FALSE,"Stock Accr";#N/A,#N/A,FALSE,"Debt Stock Accr";#N/A,#N/A,FALSE,"Accr Dil Sensi"}</definedName>
    <definedName name="ertdftre" localSheetId="25"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ertdsfey" localSheetId="25"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ertsd" localSheetId="25" hidden="1">{"cap_structure",#N/A,FALSE,"Graph-Mkt Cap";"price",#N/A,FALSE,"Graph-Price";"ebit",#N/A,FALSE,"Graph-EBITDA";"ebitda",#N/A,FALSE,"Graph-EBITDA"}</definedName>
    <definedName name="erwtre" localSheetId="25"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es" localSheetId="25" hidden="1">{"IS_all_dtls_05_07",#N/A,FALSE,"IS";#N/A,#N/A,FALSE,"CF";#N/A,#N/A,FALSE,"BS";#N/A,#N/A,FALSE,"sgmts"}</definedName>
    <definedName name="esp" localSheetId="25" hidden="1">{#N/A,#N/A,TRUE,"EPS-ROE";#N/A,#N/A,TRUE,"SumrybyCo";"Repts wo IC dtls",#N/A,TRUE,"IS";"Repts wo IC dtls",#N/A,TRUE,"CF";"Repts wo IC dtls",#N/A,TRUE,"BS";"Repts wo IC dtls",#N/A,TRUE,"NonUW";"Inv_calcs",#N/A,TRUE,"calcs"}</definedName>
    <definedName name="ESSAI" localSheetId="25" hidden="1">{#N/A,#N/A,FALSE,"Pharm";#N/A,#N/A,FALSE,"WWCM"}</definedName>
    <definedName name="etet" localSheetId="25" hidden="1">{#N/A,#N/A,FALSE,"Calc";#N/A,#N/A,FALSE,"Sensitivity";#N/A,#N/A,FALSE,"LT Earn.Dil.";#N/A,#N/A,FALSE,"Dil. AVP"}</definedName>
    <definedName name="EUROPE" localSheetId="25" hidden="1">{#N/A,#N/A,FALSE,"Est97";#N/A,#N/A,FALSE,"Plan98";#N/A,#N/A,FALSE,"Graphs";#N/A,#N/A,FALSE,"5Yr"}</definedName>
    <definedName name="ewgw" localSheetId="25" hidden="1">{#N/A,#N/A,FALSE,"Admin";#N/A,#N/A,FALSE,"Other"}</definedName>
    <definedName name="ewrfsdtr" localSheetId="25" hidden="1">{TRUE,TRUE,-1.25,-15.5,604.5,369,FALSE,FALSE,TRUE,TRUE,0,1,83,1,38,4,5,4,TRUE,TRUE,3,TRUE,1,TRUE,75,"Swvu.inputs._.raw._.data.","ACwvu.inputs._.raw._.data.",#N/A,FALSE,FALSE,0.5,0.5,0.5,0.5,2,"&amp;F","&amp;A&amp;RPage &amp;P",FALSE,FALSE,FALSE,FALSE,1,60,#N/A,#N/A,"=R1C61:R53C89","=C1:C5",#N/A,#N/A,FALSE,FALSE,FALSE,1,600,600,FALSE,FALSE,TRUE,TRUE,TRUE}</definedName>
    <definedName name="ewrysdfer" localSheetId="25" hidden="1">{"inputs raw data",#N/A,TRUE,"INPUT"}</definedName>
    <definedName name="ewwe" localSheetId="25" hidden="1">{#N/A,#N/A,FALSE,"REPORT"}</definedName>
    <definedName name="f" localSheetId="25" hidden="1">{#N/A,#N/A,FALSE,"Projections";#N/A,#N/A,FALSE,"AccrDil";#N/A,#N/A,FALSE,"PurchPriMult";#N/A,#N/A,FALSE,"Mults7_13";#N/A,#N/A,FALSE,"Mkt Mults";#N/A,#N/A,FALSE,"Acq Mults";#N/A,#N/A,FALSE,"StockPrices";#N/A,#N/A,FALSE,"Prem Paid";#N/A,#N/A,FALSE,"DCF";#N/A,#N/A,FALSE,"AUTO";#N/A,#N/A,FALSE,"Relative Trading";#N/A,#N/A,FALSE,"Mkt Val";#N/A,#N/A,FALSE,"Acq Val"}</definedName>
    <definedName name="FA"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fafa" localSheetId="3" hidden="1">{"razones",#N/A,TRUE,"Razones";"balance",#N/A,TRUE,"Balance";"resultados",#N/A,TRUE,"Resultados";"flujo",#N/A,TRUE,"Flujo";"ingresos",#N/A,TRUE,"Ingresos";"costo",#N/A,TRUE,"Costo";"gastos",#N/A,TRUE,"Gastos";"datos",#N/A,TRUE,"Datos";"financieros",#N/A,TRUE,"Financieros"}</definedName>
    <definedName name="fafa" localSheetId="25" hidden="1">{"razones",#N/A,TRUE,"Razones";"balance",#N/A,TRUE,"Balance";"resultados",#N/A,TRUE,"Resultados";"flujo",#N/A,TRUE,"Flujo";"ingresos",#N/A,TRUE,"Ingresos";"costo",#N/A,TRUE,"Costo";"gastos",#N/A,TRUE,"Gastos";"datos",#N/A,TRUE,"Datos";"financieros",#N/A,TRUE,"Financieros"}</definedName>
    <definedName name="fafa" localSheetId="2" hidden="1">{"razones",#N/A,TRUE,"Razones";"balance",#N/A,TRUE,"Balance";"resultados",#N/A,TRUE,"Resultados";"flujo",#N/A,TRUE,"Flujo";"ingresos",#N/A,TRUE,"Ingresos";"costo",#N/A,TRUE,"Costo";"gastos",#N/A,TRUE,"Gastos";"datos",#N/A,TRUE,"Datos";"financieros",#N/A,TRUE,"Financieros"}</definedName>
    <definedName name="fafa" localSheetId="5" hidden="1">{"razones",#N/A,TRUE,"Razones";"balance",#N/A,TRUE,"Balance";"resultados",#N/A,TRUE,"Resultados";"flujo",#N/A,TRUE,"Flujo";"ingresos",#N/A,TRUE,"Ingresos";"costo",#N/A,TRUE,"Costo";"gastos",#N/A,TRUE,"Gastos";"datos",#N/A,TRUE,"Datos";"financieros",#N/A,TRUE,"Financieros"}</definedName>
    <definedName name="fafa" localSheetId="6" hidden="1">{"razones",#N/A,TRUE,"Razones";"balance",#N/A,TRUE,"Balance";"resultados",#N/A,TRUE,"Resultados";"flujo",#N/A,TRUE,"Flujo";"ingresos",#N/A,TRUE,"Ingresos";"costo",#N/A,TRUE,"Costo";"gastos",#N/A,TRUE,"Gastos";"datos",#N/A,TRUE,"Datos";"financieros",#N/A,TRUE,"Financieros"}</definedName>
    <definedName name="fafa" localSheetId="4" hidden="1">{"razones",#N/A,TRUE,"Razones";"balance",#N/A,TRUE,"Balance";"resultados",#N/A,TRUE,"Resultados";"flujo",#N/A,TRUE,"Flujo";"ingresos",#N/A,TRUE,"Ingresos";"costo",#N/A,TRUE,"Costo";"gastos",#N/A,TRUE,"Gastos";"datos",#N/A,TRUE,"Datos";"financieros",#N/A,TRUE,"Financieros"}</definedName>
    <definedName name="fcd" localSheetId="25"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fcuk" localSheetId="25" hidden="1">{"by departments",#N/A,TRUE,"FORECAST";"cap_headcount",#N/A,TRUE,"FORECAST";"summary",#N/A,TRUE,"FORECAST"}</definedName>
    <definedName name="FD" localSheetId="25" hidden="1">{#N/A,#N/A,FALSE,"Statements";#N/A,#N/A,FALSE,"Capital";#N/A,#N/A,FALSE,"UTIL Monthly Inc ";#N/A,#N/A,FALSE,"UTIL REVENUE";#N/A,#N/A,FALSE,"UTIL SERV REV ";#N/A,#N/A,FALSE,"Manpower";#N/A,#N/A,FALSE,"Maintenance";#N/A,#N/A,FALSE,"Util Sales Support";#N/A,#N/A,FALSE,"SI - UTIL";#N/A,#N/A,FALSE,"Sales - Utili";#N/A,#N/A,FALSE,"Util - Mktg"}</definedName>
    <definedName name="fdas" localSheetId="25" hidden="1">{"IS",#N/A,FALSE,"IS";"RPTIS",#N/A,FALSE,"RPTIS";"STATS",#N/A,FALSE,"STATS";"CELL",#N/A,FALSE,"CELL";"BS",#N/A,FALSE,"BS"}</definedName>
    <definedName name="fdas1" localSheetId="25" hidden="1">{"IS",#N/A,FALSE,"IS";"RPTIS",#N/A,FALSE,"RPTIS";"STATS",#N/A,FALSE,"STATS";"CELL",#N/A,FALSE,"CELL";"BS",#N/A,FALSE,"BS"}</definedName>
    <definedName name="fdasfasd" localSheetId="25" hidden="1">{"bs",#N/A,FALSE,"SCF"}</definedName>
    <definedName name="fdf" localSheetId="25" hidden="1">{"incomemth",#N/A,TRUE,"forecast00";"incomepercentmth",#N/A,TRUE,"forecast00";"balancemth",#N/A,TRUE,"forecast00";"cashmth",#N/A,TRUE,"forecast00";"covenantmth",#N/A,TRUE,"forecast00"}</definedName>
    <definedName name="FDFD" localSheetId="25" hidden="1">{#N/A,#N/A,FALSE,"Pharm";#N/A,#N/A,FALSE,"WWCM"}</definedName>
    <definedName name="fdfghdf" localSheetId="25" hidden="1">{"inputs raw data",#N/A,TRUE,"INPUT"}</definedName>
    <definedName name="fdg" localSheetId="25" hidden="1">{"Assumptions",#N/A,TRUE,"Assumptions";"Income",#N/A,TRUE,"Income";"Balance",#N/A,TRUE,"Balance"}</definedName>
    <definedName name="fds" localSheetId="25" hidden="1">{#N/A,#N/A,FALSE,"Pharm";#N/A,#N/A,FALSE,"WWCM"}</definedName>
    <definedName name="fdsa" localSheetId="25" hidden="1">{"income statement",#N/A,TRUE,"is";"balance sheet",#N/A,TRUE,"bs";"cashflow",#N/A,TRUE,"cf";"rev summary",#N/A,TRUE,"rev summary";"VAD worldwide",#N/A,TRUE,"VAD (worldwide)";"VAD geog brkdwn",#N/A,TRUE,"VAD (geog breakdown)";"VAD sys wrld wide",#N/A,TRUE,"VADSystem (worldwide)";"VAD sys geog brkdwn",#N/A,TRUE,"VADSystem (geog breakdown)";"VAD sys geog brkdwn 2",#N/A,TRUE,"VADSystem (geog breakdown)";"VAG",#N/A,TRUE,"VAG";"CABG",#N/A,TRUE,"CABG";"milestones",#N/A,TRUE,"milestones";"VAD mkt sum",#N/A,TRUE,"VAD Market Sum";"VAD Mkt WW",#N/A,TRUE,"VAD Mkt (worldwide)";"VAD Mkt geog",#N/A,TRUE,"VAD Mkt (Geog)"}</definedName>
    <definedName name="fdsg" localSheetId="25" hidden="1">{"incomemth",#N/A,TRUE,"forecast00";"incomepercentmth",#N/A,TRUE,"forecast00";"balancemth",#N/A,TRUE,"forecast00";"cashmth",#N/A,TRUE,"forecast00";"covenantmth",#N/A,TRUE,"forecast00"}</definedName>
    <definedName name="fdsg1" localSheetId="25" hidden="1">{"incomemth",#N/A,TRUE,"forecast00";"incomepercentmth",#N/A,TRUE,"forecast00";"balancemth",#N/A,TRUE,"forecast00";"cashmth",#N/A,TRUE,"forecast00";"covenantmth",#N/A,TRUE,"forecast00"}</definedName>
    <definedName name="fdskj" localSheetId="25" hidden="1">{#N/A,#N/A,FALSE,"Model";#N/A,#N/A,FALSE,"Division"}</definedName>
    <definedName name="fe" localSheetId="25" hidden="1">{"Data Worksheet",#N/A,FALSE,"CAREY97"}</definedName>
    <definedName name="fefsf" localSheetId="25" hidden="1">{"incomemth",#N/A,TRUE,"forecast01";"incpercentmth",#N/A,TRUE,"forecast01";"balancemth",#N/A,TRUE,"forecast01";"cashmth",#N/A,TRUE,"forecast01";"cov2mth",#N/A,TRUE,"forecast01";"prbexp",#N/A,TRUE,"forecast01";"prbcap",#N/A,TRUE,"forecast01";"coalconsultants",#N/A,TRUE,"forecast01";"prbsum",#N/A,TRUE,"forecast01"}</definedName>
    <definedName name="fefsf1" localSheetId="25" hidden="1">{"incomemth",#N/A,TRUE,"forecast01";"incpercentmth",#N/A,TRUE,"forecast01";"balancemth",#N/A,TRUE,"forecast01";"cashmth",#N/A,TRUE,"forecast01";"cov2mth",#N/A,TRUE,"forecast01";"prbexp",#N/A,TRUE,"forecast01";"prbcap",#N/A,TRUE,"forecast01";"coalconsultants",#N/A,TRUE,"forecast01";"prbsum",#N/A,TRUE,"forecast01"}</definedName>
    <definedName name="ff" localSheetId="25" hidden="1">{#N/A,#N/A,FALSE,"SUMMARY";#N/A,#N/A,FALSE,"TECHNOLOGY";#N/A,#N/A,FALSE,"YEAR2000";#N/A,#N/A,FALSE,"GENERAL SERVICES";#N/A,#N/A,FALSE,"PROD MANAGE";#N/A,#N/A,FALSE,"BOG";#N/A,#N/A,FALSE,"PROT CONT";#N/A,#N/A,FALSE,"INVEST COMP"}</definedName>
    <definedName name="fff" localSheetId="25" hidden="1">{#N/A,#N/A,FALSE,"SUMMARY";#N/A,#N/A,FALSE,"TECHNOLOGY";#N/A,#N/A,FALSE,"YEAR2000";#N/A,#N/A,FALSE,"GENERAL SERVICES";#N/A,#N/A,FALSE,"PROD MANAGE";#N/A,#N/A,FALSE,"BOG";#N/A,#N/A,FALSE,"PROT CONT";#N/A,#N/A,FALSE,"INVEST COMP"}</definedName>
    <definedName name="fffffff" localSheetId="25" hidden="1">{#N/A,#N/A,FALSE,"Pharm";#N/A,#N/A,FALSE,"WWCM"}</definedName>
    <definedName name="ffy" localSheetId="25" hidden="1">{#N/A,#N/A,FALSE,"FY97";#N/A,#N/A,FALSE,"FY98";#N/A,#N/A,FALSE,"FY99";#N/A,#N/A,FALSE,"FY00";#N/A,#N/A,FALSE,"FY01"}</definedName>
    <definedName name="fg" localSheetId="25" hidden="1">{#N/A,#N/A,FALSE,"REPORT"}</definedName>
    <definedName name="fgkjkh" localSheetId="25" hidden="1">{#N/A,#N/A,FALSE,"REPORT"}</definedName>
    <definedName name="fgsg" localSheetId="25" hidden="1">{"consolidated",#N/A,FALSE,"Sheet1";"cms",#N/A,FALSE,"Sheet1";"fse",#N/A,FALSE,"Sheet1"}</definedName>
    <definedName name="FHDI" localSheetId="25" hidden="1">{#N/A,#N/A,FALSE,"TEL Monthly Inc";#N/A,#N/A,FALSE,"TEL REVENUE";#N/A,#N/A,FALSE,"Tel - Manpower";#N/A,#N/A,FALSE,"Tel Sales Support";#N/A,#N/A,FALSE,"SI - TELCO";#N/A,#N/A,FALSE,"Sales - Telco";#N/A,#N/A,FALSE,"Tel - Mktg";#N/A,#N/A,FALSE,"Tel - Mktg"}</definedName>
    <definedName name="fin"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Final"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FJEZK" localSheetId="25" hidden="1">{#N/A,#N/A,FALSE,"Pharm";#N/A,#N/A,FALSE,"WWCM"}</definedName>
    <definedName name="fjlk" localSheetId="25" hidden="1">{"incomemth",#N/A,TRUE,"forecast01";"incpercentmth",#N/A,TRUE,"forecast01";"balancemth",#N/A,TRUE,"forecast01";"cashmth",#N/A,TRUE,"forecast01";"cov2mth",#N/A,TRUE,"forecast01";"prbexp",#N/A,TRUE,"forecast01";"prbcap",#N/A,TRUE,"forecast01";"coalconsultants",#N/A,TRUE,"forecast01";"prbsum",#N/A,TRUE,"forecast01"}</definedName>
    <definedName name="forget" localSheetId="25" hidden="1">{#N/A,#N/A,FALSE,"Australia";#N/A,#N/A,FALSE,"Austria";#N/A,#N/A,FALSE,"Belgium";#N/A,#N/A,FALSE,"Canada";#N/A,#N/A,FALSE,"France";#N/A,#N/A,FALSE,"Germany";#N/A,#N/A,FALSE,"Hong Kong";#N/A,#N/A,FALSE,"Italy";#N/A,#N/A,FALSE,"Japan";#N/A,#N/A,FALSE,"Korea";#N/A,#N/A,FALSE,"Mexico";#N/A,#N/A,FALSE,"Poland";#N/A,#N/A,FALSE,"Spain";#N/A,#N/A,FALSE,"Switzerland";#N/A,#N/A,FALSE,"UK"}</definedName>
    <definedName name="FRF" localSheetId="25" hidden="1">{#N/A,#N/A,FALSE,"1";#N/A,#N/A,FALSE,"2";#N/A,#N/A,FALSE,"16 - 17";#N/A,#N/A,FALSE,"18 - 19";#N/A,#N/A,FALSE,"26";#N/A,#N/A,FALSE,"27";#N/A,#N/A,FALSE,"28"}</definedName>
    <definedName name="FRFERFE" localSheetId="25" hidden="1">{#N/A,#N/A,FALSE,"Pharm";#N/A,#N/A,FALSE,"WWCM"}</definedName>
    <definedName name="fsa" localSheetId="2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sd" localSheetId="25" hidden="1">{"inputs raw data",#N/A,TRUE,"INPUT"}</definedName>
    <definedName name="fsfs" localSheetId="25" hidden="1">{#N/A,#N/A,FALSE,"Calc";#N/A,#N/A,FALSE,"Sensitivity";#N/A,#N/A,FALSE,"LT Earn.Dil.";#N/A,#N/A,FALSE,"Dil. AVP"}</definedName>
    <definedName name="fuck" localSheetId="25" hidden="1">{"by departments",#N/A,TRUE,"FORECAST";"cap_headcount",#N/A,TRUE,"FORECAST";"summary",#N/A,TRUE,"FORECAST"}</definedName>
    <definedName name="fuckme" localSheetId="25" hidden="1">{"SUMMARY",#N/A,TRUE,"SUMMARY";"compare",#N/A,TRUE,"Vs. Bus Plan";"ratios",#N/A,TRUE,"Ratios";"REVENUE",#N/A,TRUE,"Revenue";"expenses",#N/A,TRUE,"1996 budget";"payroll",#N/A,TRUE,"Payroll"}</definedName>
    <definedName name="fullmodel" localSheetId="25"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fullmodel2" localSheetId="25"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fullmodel3" localSheetId="25"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FVG" localSheetId="25" hidden="1">{#N/A,#N/A,FALSE,"Pharm";#N/A,#N/A,FALSE,"WWCM"}</definedName>
    <definedName name="FWEg" localSheetId="25" hidden="1">{#N/A,#N/A,FALSE,"Summary";#N/A,#N/A,FALSE,"Edit";#N/A,#N/A,FALSE,"MedProf";#N/A,#N/A,FALSE,"Proj Mgt";#N/A,#N/A,FALSE,"Creat Svc";#N/A,#N/A,FALSE,"Meet Svc";#N/A,#N/A,FALSE,"Non-OCC";#N/A,#N/A,FALSE,"Client Svc";#N/A,#N/A,FALSE,"Bus Dev";#N/A,#N/A,FALSE,"Indirect"}</definedName>
    <definedName name="g" localSheetId="25" hidden="1">{#N/A,#N/A,FALSE,"Pharm";#N/A,#N/A,FALSE,"WWCM"}</definedName>
    <definedName name="GA" localSheetId="25" hidden="1">{#N/A,#N/A,FALSE,"Job Sched"}</definedName>
    <definedName name="gdfgdf" localSheetId="25" hidden="1">{#N/A,#N/A,FALSE,"Pharm";#N/A,#N/A,FALSE,"WWCM"}</definedName>
    <definedName name="gdfs" localSheetId="25" hidden="1">{#N/A,#N/A,FALSE,"Projections";#N/A,#N/A,FALSE,"Multiples Valuation";#N/A,#N/A,FALSE,"LBO";#N/A,#N/A,FALSE,"Multiples_Sensitivity";#N/A,#N/A,FALSE,"Summary"}</definedName>
    <definedName name="gdgd" localSheetId="25" hidden="1">{#N/A,#N/A,FALSE,"Calc";#N/A,#N/A,FALSE,"Sensitivity";#N/A,#N/A,FALSE,"LT Earn.Dil.";#N/A,#N/A,FALSE,"Dil. AVP"}</definedName>
    <definedName name="ge" localSheetId="25" hidden="1">{"Results Worksheets",#N/A,FALSE,"RESULTS"}</definedName>
    <definedName name="GeelCapexFcst" localSheetId="25" hidden="1">{#N/A,#N/A,FALSE,"SUMMARY";#N/A,#N/A,FALSE,"mcsh";#N/A,#N/A,FALSE,"vol&amp;rev";#N/A,#N/A,FALSE,"wkgcap";#N/A,#N/A,FALSE,"DEPR&amp;DT";#N/A,#N/A,FALSE,"ASSETS";#N/A,#N/A,FALSE,"NI&amp;OTH&amp;DIV";#N/A,#N/A,FALSE,"CASHFLOW";#N/A,#N/A,FALSE,"CAPEMPL";#N/A,#N/A,FALSE,"ROCE"}</definedName>
    <definedName name="geww" localSheetId="25" hidden="1">{#N/A,#N/A,FALSE,"Summary";#N/A,#N/A,FALSE,"Edit";#N/A,#N/A,FALSE,"MedProf";#N/A,#N/A,FALSE,"Proj Mgt";#N/A,#N/A,FALSE,"Creat Svc";#N/A,#N/A,FALSE,"Meet Svc";#N/A,#N/A,FALSE,"Non-OCC";#N/A,#N/A,FALSE,"Client Svc";#N/A,#N/A,FALSE,"Bus Dev";#N/A,#N/A,FALSE,"Indirect"}</definedName>
    <definedName name="gf" localSheetId="25" hidden="1">{"incomemth",#N/A,TRUE,"forecast00";"incomepercentmth",#N/A,TRUE,"forecast00";"balancemth",#N/A,TRUE,"forecast00";"cashmth",#N/A,TRUE,"forecast00";"covenantmth",#N/A,TRUE,"forecast00"}</definedName>
    <definedName name="gfdjhjh" localSheetId="25" hidden="1">{#N/A,#N/A,FALSE,"Pharm";#N/A,#N/A,FALSE,"WWCM"}</definedName>
    <definedName name="gfsd" localSheetId="25" hidden="1">{"consolidated",#N/A,FALSE,"Sheet1";"cms",#N/A,FALSE,"Sheet1";"fse",#N/A,FALSE,"Sheet1"}</definedName>
    <definedName name="gg"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ggg"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GGGGGG" localSheetId="25" hidden="1">{#N/A,#N/A,FALSE,"ATIVO";#N/A,#N/A,FALSE,"PASSIVO";#N/A,#N/A,FALSE,"L&amp;P";#N/A,#N/A,FALSE,"INTEREST";#N/A,#N/A,FALSE,"IRDIFERIDO"}</definedName>
    <definedName name="gh" localSheetId="25" hidden="1">{"view1",#N/A,FALSE,"ON AIR"}</definedName>
    <definedName name="ghe" localSheetId="25" hidden="1">{"Headcount Worksheet",#N/A,FALSE,"HEADCOUNT"}</definedName>
    <definedName name="ghjggjh" localSheetId="25" hidden="1">{#N/A,#N/A,FALSE,"Pharm";#N/A,#N/A,FALSE,"WWCM"}</definedName>
    <definedName name="ghjyt" localSheetId="25" hidden="1">{TRUE,TRUE,-1.25,-15.5,604.5,369,FALSE,FALSE,TRUE,TRUE,0,1,83,1,38,4,5,4,TRUE,TRUE,3,TRUE,1,TRUE,75,"Swvu.inputs._.raw._.data.","ACwvu.inputs._.raw._.data.",#N/A,FALSE,FALSE,0.5,0.5,0.5,0.5,2,"&amp;F","&amp;A&amp;RPage &amp;P",FALSE,FALSE,FALSE,FALSE,1,60,#N/A,#N/A,"=R1C61:R53C89","=C1:C5",#N/A,#N/A,FALSE,FALSE,FALSE,1,600,600,FALSE,FALSE,TRUE,TRUE,TRUE}</definedName>
    <definedName name="Global1" localSheetId="25" hidden="1">{#N/A,#N/A,FALSE,"Pharm";#N/A,#N/A,FALSE,"WWCM"}</definedName>
    <definedName name="gob"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gods" localSheetId="25" hidden="1">{"consolidated",#N/A,FALSE,"Sheet1";"cms",#N/A,FALSE,"Sheet1";"fse",#N/A,FALSE,"Sheet1"}</definedName>
    <definedName name="gosh" localSheetId="25" hidden="1">{#N/A,#N/A,FALSE,"Return";"Summary Inc Stmt",#N/A,FALSE,"IncStmt";#N/A,#N/A,FALSE,"Prod";"Summary Input",#N/A,FALSE,"Input"}</definedName>
    <definedName name="gr" localSheetId="25" hidden="1">{"Headcount Worksheet",#N/A,FALSE,"HEADCOUNT"}</definedName>
    <definedName name="graph" localSheetId="25" hidden="1">{#N/A,#N/A,FALSE,"REPORT"}</definedName>
    <definedName name="gt" localSheetId="25" hidden="1">{"Data Worksheet",#N/A,FALSE,"CAREY97"}</definedName>
    <definedName name="h" localSheetId="25" hidden="1">{#N/A,#N/A,FALSE,"REPORT"}</definedName>
    <definedName name="half" localSheetId="25" hidden="1">{#N/A,#N/A,FALSE,"Aging Summary";#N/A,#N/A,FALSE,"Ratio Analysis";#N/A,#N/A,FALSE,"Test 120 Day Accts";#N/A,#N/A,FALSE,"Tickmarks"}</definedName>
    <definedName name="ham" localSheetId="25" hidden="1">{#N/A,#N/A,FALSE,"TEL Monthly Inc";#N/A,#N/A,FALSE,"TEL REVENUE";#N/A,#N/A,FALSE,"Tel - Manpower";#N/A,#N/A,FALSE,"Tel Sales Support";#N/A,#N/A,FALSE,"SI - TELCO";#N/A,#N/A,FALSE,"Sales - Telco";#N/A,#N/A,FALSE,"Tel - Mktg";#N/A,#N/A,FALSE,"Tel - Mktg"}</definedName>
    <definedName name="haopy" localSheetId="25" hidden="1">{"Headcount Worksheet",#N/A,FALSE,"HEADCOUNT"}</definedName>
    <definedName name="happy" localSheetId="25" hidden="1">{#N/A,#N/A,FALSE,"3mos";#N/A,#N/A,FALSE,"dedicated"}</definedName>
    <definedName name="hddd" localSheetId="25"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head" localSheetId="25" hidden="1">{"Data Worksheet",#N/A,FALSE,"CAREY97"}</definedName>
    <definedName name="HEI" localSheetId="25" hidden="1">{"AQUIRORDCF",#N/A,FALSE,"Merger consequences";"Acquirorassns",#N/A,FALSE,"Merger consequences"}</definedName>
    <definedName name="hello" localSheetId="25" hidden="1">{#N/A,#N/A,FALSE,"ACQ_GRAPHS";#N/A,#N/A,FALSE,"T_1 GRAPHS";#N/A,#N/A,FALSE,"T_2 GRAPHS";#N/A,#N/A,FALSE,"COMB_GRAPHS"}</definedName>
    <definedName name="here" localSheetId="25" hidden="1">{"Headcount Worksheet",#N/A,FALSE,"HEADCOUNT"}</definedName>
    <definedName name="hey" localSheetId="25" hidden="1">{#N/A,#N/A,FALSE,"3mos";#N/A,#N/A,FALSE,"dedicated"}</definedName>
    <definedName name="HFinGraph" localSheetId="25" hidden="1">{#N/A,#N/A,FALSE,"Pharm";#N/A,#N/A,FALSE,"WWCM"}</definedName>
    <definedName name="hg" localSheetId="25" hidden="1">{#N/A,#N/A,FALSE,"MARKET"}</definedName>
    <definedName name="hgj" localSheetId="25" hidden="1">{"Consolidated IS",#N/A,FALSE,"Consolidated IS";"Consolidated Detail IS",#N/A,FALSE,"Consolidated Detail IS";"Consolidated Detail Supplemental Info",#N/A,FALSE,"Consolidated Detail IS";"Consolidated CF",#N/A,FALSE,"Consolidated CF";"Consolidated BS",#N/A,FALSE,"Consolidated BS";"Consolidating 1999 Detail IS",#N/A,FALSE,"1999 Detail IS";"Consolidated 1999 Supplemental Info",#N/A,FALSE,"1999 Detail IS";"Consolidating 1998 Detail IS",#N/A,FALSE,"1998 Detail IS";"Consolidating 1998 Supplemental Info",#N/A,FALSE,"1998 Detail IS";"Consolidating 1997 Detail IS",#N/A,FALSE,"1997 Detail IS";"Consolidated 1997 Supplemental Info",#N/A,FALSE,"1997 Detail IS"}</definedName>
    <definedName name="hgjhg" localSheetId="2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hh"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hhh" localSheetId="25" hidden="1">{#N/A,#N/A,FALSE,"SUMMARY";#N/A,#N/A,FALSE,"TECHNOLOGY";#N/A,#N/A,FALSE,"YEAR2000";#N/A,#N/A,FALSE,"GENERAL SERVICES";#N/A,#N/A,FALSE,"PROD MANAGE";#N/A,#N/A,FALSE,"BOG";#N/A,#N/A,FALSE,"PROT CONT";#N/A,#N/A,FALSE,"INVEST COMP"}</definedName>
    <definedName name="hhhh" localSheetId="25" hidden="1">{#N/A,#N/A,FALSE,"Bakersfield PCs";#N/A,#N/A,FALSE,"Bremer PCs";#N/A,#N/A,FALSE,"Bakersfield Notebooks"}</definedName>
    <definedName name="hhhhh" localSheetId="25" hidden="1">{#N/A,#N/A,FALSE,"Bakersfield PCs";#N/A,#N/A,FALSE,"Bremer PCs";#N/A,#N/A,FALSE,"Bakersfield Notebooks"}</definedName>
    <definedName name="hhhw" localSheetId="25" hidden="1">{#N/A,#N/A,FALSE,"Bakersfield PCs";#N/A,#N/A,FALSE,"Bremer PCs";#N/A,#N/A,FALSE,"Bakersfield Notebooks"}</definedName>
    <definedName name="hhu" localSheetId="25" hidden="1">{#N/A,#N/A,FALSE,"TEL Monthly Inc";#N/A,#N/A,FALSE,"TEL REVENUE";#N/A,#N/A,FALSE,"Tel - Manpower";#N/A,#N/A,FALSE,"Tel Sales Support";#N/A,#N/A,FALSE,"SI - TELCO";#N/A,#N/A,FALSE,"Sales - Telco";#N/A,#N/A,FALSE,"Tel - Mktg";#N/A,#N/A,FALSE,"Tel - Mktg"}</definedName>
    <definedName name="Hibh" localSheetId="25" hidden="1">{#N/A,#N/A,FALSE,"Pharm";#N/A,#N/A,FALSE,"WWCM"}</definedName>
    <definedName name="High" localSheetId="25" hidden="1">{#N/A,#N/A,FALSE,"Pharm";#N/A,#N/A,FALSE,"WWCM"}</definedName>
    <definedName name="hjhjffukfuk" localSheetId="25" hidden="1">{#N/A,#N/A,FALSE,"Pharm";#N/A,#N/A,FALSE,"WWCM"}</definedName>
    <definedName name="hjhjfkfukywrte" localSheetId="25" hidden="1">{#N/A,#N/A,FALSE,"Pharm";#N/A,#N/A,FALSE,"WWCM"}</definedName>
    <definedName name="hjhkjkl" localSheetId="25" hidden="1">{#N/A,#N/A,FALSE,"Pharm";#N/A,#N/A,FALSE,"WWCM"}</definedName>
    <definedName name="hjhohjk" localSheetId="25" hidden="1">{"FN_JE98",#N/A,FALSE,"98 W Options"}</definedName>
    <definedName name="hjjjkk" localSheetId="25" hidden="1">{#N/A,#N/A,FALSE,"REPORT"}</definedName>
    <definedName name="hjjkk" localSheetId="25" hidden="1">{#N/A,#N/A,FALSE,"Pharm";#N/A,#N/A,FALSE,"WWCM"}</definedName>
    <definedName name="hjkk" localSheetId="25" hidden="1">{#N/A,#N/A,FALSE,"Pharm";#N/A,#N/A,FALSE,"WWCM"}</definedName>
    <definedName name="hjyny" localSheetId="25" hidden="1">{#N/A,#N/A,FALSE,"TSUM";#N/A,#N/A,FALSE,"shares";#N/A,#N/A,FALSE,"earnout";#N/A,#N/A,FALSE,"Heaty";#N/A,#N/A,FALSE,"self-tend";#N/A,#N/A,FALSE,"self-sum"}</definedName>
    <definedName name="HKSH" localSheetId="25" hidden="1">{#N/A,#N/A,FALSE,"REPORT"}</definedName>
    <definedName name="HMG" localSheetId="25" hidden="1">{#N/A,#N/A,FALSE,"REPORT"}</definedName>
    <definedName name="ho" localSheetId="25" hidden="1">{#N/A,#N/A,FALSE,"PRJCTED MNTHLY QTY's"}</definedName>
    <definedName name="hod" localSheetId="25" hidden="1">{#N/A,#N/A,FALSE,"TS";#N/A,#N/A,FALSE,"Combo";#N/A,#N/A,FALSE,"FAIR";#N/A,#N/A,FALSE,"RBC";#N/A,#N/A,FALSE,"xxxx";#N/A,#N/A,FALSE,"A_D";#N/A,#N/A,FALSE,"WACC";#N/A,#N/A,FALSE,"DCF";#N/A,#N/A,FALSE,"LBO";#N/A,#N/A,FALSE,"AcqMults";#N/A,#N/A,FALSE,"CompMults"}</definedName>
    <definedName name="hod_1" localSheetId="25" hidden="1">{#N/A,#N/A,FALSE,"TS";#N/A,#N/A,FALSE,"Combo";#N/A,#N/A,FALSE,"FAIR";#N/A,#N/A,FALSE,"RBC";#N/A,#N/A,FALSE,"xxxx";#N/A,#N/A,FALSE,"A_D";#N/A,#N/A,FALSE,"WACC";#N/A,#N/A,FALSE,"DCF";#N/A,#N/A,FALSE,"LBO";#N/A,#N/A,FALSE,"AcqMults";#N/A,#N/A,FALSE,"CompMults"}</definedName>
    <definedName name="houy" localSheetId="25" hidden="1">{#N/A,#N/A,FALSE,"AD_Purchase";#N/A,#N/A,FALSE,"Credit";#N/A,#N/A,FALSE,"PF Acquisition";#N/A,#N/A,FALSE,"PF Offering"}</definedName>
    <definedName name="houy1" localSheetId="25" hidden="1">{#N/A,#N/A,FALSE,"AD_Purchase";#N/A,#N/A,FALSE,"Credit";#N/A,#N/A,FALSE,"PF Acquisition";#N/A,#N/A,FALSE,"PF Offering"}</definedName>
    <definedName name="houy2" localSheetId="25" hidden="1">{#N/A,#N/A,FALSE,"AD_Purchase";#N/A,#N/A,FALSE,"Credit";#N/A,#N/A,FALSE,"PF Acquisition";#N/A,#N/A,FALSE,"PF Offering"}</definedName>
    <definedName name="hr" localSheetId="25" hidden="1">{"Data Worksheet",#N/A,FALSE,"CAREY97"}</definedName>
    <definedName name="HTML_Control" localSheetId="25" hidden="1">{"'Final '!$A$1:$N$125"}</definedName>
    <definedName name="htyuityuiotio" localSheetId="25" hidden="1">{#N/A,#N/A,FALSE,"REPORT"}</definedName>
    <definedName name="hu"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ypertention" localSheetId="25" hidden="1">{#N/A,#N/A,FALSE,"Pharm";#N/A,#N/A,FALSE,"WWCM"}</definedName>
    <definedName name="hypo" localSheetId="25" hidden="1">{#N/A,#N/A,FALSE,"Pharm";#N/A,#N/A,FALSE,"WWCM"}</definedName>
    <definedName name="i"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iffx" localSheetId="25" hidden="1">{"income statement",#N/A,TRUE,"is";"balance sheet",#N/A,TRUE,"bs";"cashflow",#N/A,TRUE,"cf";"rev summary",#N/A,TRUE,"rev summary";"VAD worldwide",#N/A,TRUE,"VAD (worldwide)";"VAD geog brkdwn",#N/A,TRUE,"VAD (geog breakdown)";"VAD sys wrld wide",#N/A,TRUE,"VADSystem (worldwide)";"VAD sys geog brkdwn",#N/A,TRUE,"VADSystem (geog breakdown)";"VAD sys geog brkdwn 2",#N/A,TRUE,"VADSystem (geog breakdown)";"VAG",#N/A,TRUE,"VAG";"CABG",#N/A,TRUE,"CABG";"milestones",#N/A,TRUE,"milestones";"VAD mkt sum",#N/A,TRUE,"VAD Market Sum";"VAD Mkt WW",#N/A,TRUE,"VAD Mkt (worldwide)";"VAD Mkt geog",#N/A,TRUE,"VAD Mkt (Geog)"}</definedName>
    <definedName name="iffy" localSheetId="25" hidden="1">{"income statement",#N/A,TRUE,"is";"balance sheet",#N/A,TRUE,"bs";"cashflow",#N/A,TRUE,"cf";"rev summary",#N/A,TRUE,"rev summary";"VAD worldwide",#N/A,TRUE,"VAD (worldwide)";"VAD geog brkdwn",#N/A,TRUE,"VAD (geog breakdown)";"VAD sys wrld wide",#N/A,TRUE,"VADSystem (worldwide)";"VAD sys geog brkdwn",#N/A,TRUE,"VADSystem (geog breakdown)";"VAD sys geog brkdwn 2",#N/A,TRUE,"VADSystem (geog breakdown)";"VAG",#N/A,TRUE,"VAG";"CABG",#N/A,TRUE,"CABG";"milestones",#N/A,TRUE,"milestones";"VAD mkt sum",#N/A,TRUE,"VAD Market Sum";"VAD Mkt WW",#N/A,TRUE,"VAD Mkt (worldwide)";"VAD Mkt geog",#N/A,TRUE,"VAD Mkt (Geog)"}</definedName>
    <definedName name="ii"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iii"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iiii" localSheetId="25" hidden="1">{#N/A,#N/A,FALSE,"SUMMARY";#N/A,#N/A,FALSE,"TECHNOLOGY";#N/A,#N/A,FALSE,"YEAR2000";#N/A,#N/A,FALSE,"GENERAL SERVICES";#N/A,#N/A,FALSE,"PROD MANAGE";#N/A,#N/A,FALSE,"BOG";#N/A,#N/A,FALSE,"PROT CONT";#N/A,#N/A,FALSE,"INVEST COMP"}</definedName>
    <definedName name="iiiii"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jn" localSheetId="25" hidden="1">{#N/A,#N/A,FALSE,"AD_Purchase";#N/A,#N/A,FALSE,"Credit";#N/A,#N/A,FALSE,"PF Acquisition";#N/A,#N/A,FALSE,"PF Offering"}</definedName>
    <definedName name="ik" localSheetId="25" hidden="1">{"Results Worksheets",#N/A,FALSE,"RESULTS"}</definedName>
    <definedName name="Imagyn" localSheetId="25" hidden="1">{#N/A,#N/A,FALSE,"Projections";#N/A,#N/A,FALSE,"Multiples Valuation";#N/A,#N/A,FALSE,"LBO";#N/A,#N/A,FALSE,"Multiples_Sensitivity";#N/A,#N/A,FALSE,"Summary"}</definedName>
    <definedName name="int"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INTEGRATION"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Interco2" localSheetId="25" hidden="1">{#N/A,#N/A,FALSE,"Job Sched"}</definedName>
    <definedName name="INTERNET" localSheetId="25"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Inventory"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nvest" localSheetId="25" hidden="1">{#N/A,#N/A,FALSE,"allocation"}</definedName>
    <definedName name="IP" localSheetId="25" hidden="1">{#N/A,#N/A,FALSE,"Pharm";#N/A,#N/A,FALSE,"WWCM"}</definedName>
    <definedName name="Irbe" localSheetId="25" hidden="1">{#N/A,#N/A,FALSE,"Pharm";#N/A,#N/A,FALSE,"WWCM"}</definedName>
    <definedName name="IRM" localSheetId="25" hidden="1">{"bs",#N/A,FALSE,"SCF"}</definedName>
    <definedName name="j" localSheetId="25" hidden="1">{#N/A,#N/A,TRUE,"TransPrcd 1";#N/A,#N/A,TRUE,"TransPrcd 2";#N/A,#N/A,TRUE,"TransPrcd 3"}</definedName>
    <definedName name="jetta" localSheetId="25" hidden="1">{#N/A,#N/A,FALSE,"A-R Q&amp;A - WP";#N/A,#N/A,FALSE,"Inv Q&amp;A - WP";#N/A,#N/A,FALSE,"Collateral Reconciliations - WP";#N/A,#N/A,FALSE,"BBC Analysis - WP";#N/A,#N/A,FALSE,"ARAGING HISTORY - WP";#N/A,#N/A,FALSE,"A-R INELIGIBLES - TTL - WP";#N/A,#N/A,FALSE,"A-R INELIGIBLES (2) - WP";#N/A,#N/A,FALSE,"Proof of Delivery - WP";#N/A,#N/A,FALSE,"ARForeign - WP";#N/A,#N/A,FALSE,"CR Memo - WP";#N/A,#N/A,FALSE,"Inv Test - WP";#N/A,#N/A,FALSE,"GP TEST - WP";#N/A,#N/A,FALSE,"AP TEST - WP";#N/A,#N/A,FALSE,"Cash Activity - WP";#N/A,#N/A,FALSE,"BANK LIST - WP";#N/A,#N/A,FALSE,"CANCELLED CKS - WP";#N/A,#N/A,FALSE,"Tax1 - WP";#N/A,#N/A,FALSE,"Tax 2 - WP"}</definedName>
    <definedName name="jj"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jjj" localSheetId="25" hidden="1">{#N/A,#N/A,FALSE,"Projections";#N/A,#N/A,FALSE,"Multiples Valuation";#N/A,#N/A,FALSE,"LBO";#N/A,#N/A,FALSE,"Multiples_Sensitivity";#N/A,#N/A,FALSE,"Summary"}</definedName>
    <definedName name="jk" localSheetId="25" hidden="1">{#N/A,#N/A,FALSE,"FY97";#N/A,#N/A,FALSE,"FY98";#N/A,#N/A,FALSE,"FY99";#N/A,#N/A,FALSE,"FY00";#N/A,#N/A,FALSE,"FY01"}</definedName>
    <definedName name="jkl" localSheetId="25" hidden="1">{#N/A,#N/A,FALSE,"REPORT"}</definedName>
    <definedName name="jlklkjlk" localSheetId="25" hidden="1">{#N/A,#N/A,FALSE,"Bakersfield PCs";#N/A,#N/A,FALSE,"Bremer PCs";#N/A,#N/A,FALSE,"Bakersfield Notebooks"}</definedName>
    <definedName name="Joe" localSheetId="25" hidden="1">{"FY04_Assets",#N/A,FALSE,"Fin Stmt Budget";"FY04_Liabilities",#N/A,FALSE,"Fin Stmt Budget";"FY04_Inc_Stmt",#N/A,FALSE,"Fin Stmt Budget";"FY04_SOCF",#N/A,FALSE,"Fin Stmt Budget"}</definedName>
    <definedName name="jsfda" localSheetId="25" hidden="1">{"incomemth",#N/A,TRUE,"forecast00";"incomepercentmth",#N/A,TRUE,"forecast00";"balancemth",#N/A,TRUE,"forecast00";"cashmth",#N/A,TRUE,"forecast00";"covenantmth",#N/A,TRUE,"forecast00"}</definedName>
    <definedName name="judy" localSheetId="25" hidden="1">{#N/A,#N/A,FALSE,"Pharm";#N/A,#N/A,FALSE,"WWCM"}</definedName>
    <definedName name="judy1" localSheetId="25" hidden="1">{#N/A,#N/A,FALSE,"Pharm";#N/A,#N/A,FALSE,"WWCM"}</definedName>
    <definedName name="jy" localSheetId="25" hidden="1">{"Headcount Worksheet",#N/A,FALSE,"HEADCOUNT"}</definedName>
    <definedName name="k" localSheetId="25"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kcuf" localSheetId="25" hidden="1">{"SUMMARY",#N/A,TRUE,"SUMMARY";"compare",#N/A,TRUE,"Vs. Bus Plan";"ratios",#N/A,TRUE,"Ratios";"REVENUE",#N/A,TRUE,"Revenue";"expenses",#N/A,TRUE,"1996 budget";"payroll",#N/A,TRUE,"Payroll"}</definedName>
    <definedName name="key" localSheetId="25" hidden="1">{#N/A,#N/A,FALSE,"TS";#N/A,#N/A,FALSE,"Combo";#N/A,#N/A,FALSE,"FAIR";#N/A,#N/A,FALSE,"RBC";#N/A,#N/A,FALSE,"xxxx";#N/A,#N/A,FALSE,"A_D";#N/A,#N/A,FALSE,"WACC";#N/A,#N/A,FALSE,"DCF";#N/A,#N/A,FALSE,"LBO";#N/A,#N/A,FALSE,"AcqMults";#N/A,#N/A,FALSE,"CompMults"}</definedName>
    <definedName name="khiep" localSheetId="25" hidden="1">{#N/A,#N/A,FALSE,"99 W Options";"prov99w opt",#N/A,FALSE,"99 W Options"}</definedName>
    <definedName name="kj" localSheetId="25" hidden="1">{#N/A,#N/A,FALSE,"Admin";#N/A,#N/A,FALSE,"Other"}</definedName>
    <definedName name="kjo" localSheetId="25" hidden="1">{#N/A,#N/A,FALSE,"SUMMARY";#N/A,#N/A,FALSE,"mcsh";#N/A,#N/A,FALSE,"vol&amp;rev";#N/A,#N/A,FALSE,"wkgcap";#N/A,#N/A,FALSE,"DEPR&amp;DT";#N/A,#N/A,FALSE,"ASSETS";#N/A,#N/A,FALSE,"NI&amp;OTH&amp;DIV";#N/A,#N/A,FALSE,"CASHFLOW";#N/A,#N/A,FALSE,"CAPEMPL";#N/A,#N/A,FALSE,"ROCE"}</definedName>
    <definedName name="kk"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kkk" localSheetId="25" hidden="1">{#N/A,#N/A,FALSE,"AD_Purchase";#N/A,#N/A,FALSE,"Credit";#N/A,#N/A,FALSE,"PF Acquisition";#N/A,#N/A,FALSE,"PF Offering"}</definedName>
    <definedName name="kl" localSheetId="25" hidden="1">{#N/A,#N/A,FALSE,"FY97";#N/A,#N/A,FALSE,"FY98";#N/A,#N/A,FALSE,"FY99";#N/A,#N/A,FALSE,"FY00";#N/A,#N/A,FALSE,"FY01"}</definedName>
    <definedName name="klu" localSheetId="25" hidden="1">{"Results Worksheets",#N/A,FALSE,"RESULTS"}</definedName>
    <definedName name="kslkjkjlkjd" localSheetId="25" hidden="1">{#N/A,#N/A,FALSE,"REPORT"}</definedName>
    <definedName name="lbo" localSheetId="25" hidden="1">{#N/A,#N/A,FALSE,"Summary";#N/A,#N/A,FALSE,"Projections";#N/A,#N/A,FALSE,"Mkt Mults";#N/A,#N/A,FALSE,"DCF";#N/A,#N/A,FALSE,"Accr Dil";#N/A,#N/A,FALSE,"PIC LBO";#N/A,#N/A,FALSE,"MULT10_4";#N/A,#N/A,FALSE,"CBI LBO"}</definedName>
    <definedName name="lease" localSheetId="25" hidden="1">{#N/A,#N/A,FALSE,"HMF";#N/A,#N/A,FALSE,"FACIL";#N/A,#N/A,FALSE,"HMFINANCE";#N/A,#N/A,FALSE,"HMEUROPE";#N/A,#N/A,FALSE,"HHAB CONSO";#N/A,#N/A,FALSE,"PAB";#N/A,#N/A,FALSE,"MMC";#N/A,#N/A,FALSE,"THAI";#N/A,#N/A,FALSE,"SINPA";#N/A,#N/A,FALSE,"POLAND"}</definedName>
    <definedName name="lee" localSheetId="25" hidden="1">{#N/A,#N/A,FALSE,"Pharm";#N/A,#N/A,FALSE,"WWCM"}</definedName>
    <definedName name="li" localSheetId="25" hidden="1">{"Results Worksheets",#N/A,FALSE,"RESULTS"}</definedName>
    <definedName name="lii" localSheetId="25" hidden="1">{"Results Worksheets",#N/A,FALSE,"RESULTS"}</definedName>
    <definedName name="limey" localSheetId="25" hidden="1">{#N/A,#N/A,FALSE,"Calc";#N/A,#N/A,FALSE,"Sensitivity";#N/A,#N/A,FALSE,"LT Earn.Dil.";#N/A,#N/A,FALSE,"Dil. AVP"}</definedName>
    <definedName name="lkjlkj" localSheetId="25" hidden="1">{"Final",#N/A,FALSE,"Feb-96"}</definedName>
    <definedName name="lklkl" localSheetId="25" hidden="1">{"consolidated",#N/A,FALSE,"Sheet1";"cms",#N/A,FALSE,"Sheet1";"fse",#N/A,FALSE,"Sheet1"}</definedName>
    <definedName name="ll" localSheetId="25" hidden="1">{#N/A,#N/A,FALSE,"IPO";#N/A,#N/A,FALSE,"DCF";#N/A,#N/A,FALSE,"LBO";#N/A,#N/A,FALSE,"MULT_VAL";#N/A,#N/A,FALSE,"Status Quo";#N/A,#N/A,FALSE,"Recap"}</definedName>
    <definedName name="LLL" localSheetId="25" hidden="1">{#N/A,#N/A,FALSE,"ACQ_GRAPHS";#N/A,#N/A,FALSE,"T_1 GRAPHS";#N/A,#N/A,FALSE,"T_2 GRAPHS";#N/A,#N/A,FALSE,"COMB_GRAPHS"}</definedName>
    <definedName name="llll" localSheetId="25" hidden="1">{#N/A,#N/A,FALSE,"SYSOC";#N/A,#N/A,FALSE,"RESU-GESTION";#N/A,#N/A,FALSE,"EVOL-MNA";#N/A,#N/A,FALSE,"VTAS-ANALI";#N/A,#N/A,FALSE,"ANALI-GSFIJOS";#N/A,#N/A,FALSE,"DETA-RUBROS";#N/A,#N/A,FALSE,"ANALI-CNF";#N/A,#N/A,FALSE,"BILAN";#N/A,#N/A,FALSE,"TAB_FIN";#N/A,#N/A,FALSE,"IND_ECO"}</definedName>
    <definedName name="LOB4RANGE" localSheetId="25" hidden="1">{#N/A,#N/A,FALSE,"assump";#N/A,#N/A,FALSE,"open";#N/A,#N/A,FALSE,"bs";#N/A,#N/A,FALSE,"is";#N/A,#N/A,FALSE,"cf"}</definedName>
    <definedName name="LOB4XXX" localSheetId="25" hidden="1">{#N/A,#N/A,FALSE,"assump";#N/A,#N/A,FALSE,"open";#N/A,#N/A,FALSE,"bs";#N/A,#N/A,FALSE,"is";#N/A,#N/A,FALSE,"cf"}</definedName>
    <definedName name="LOB4YYY" localSheetId="25" hidden="1">{#N/A,#N/A,FALSE,"assump";#N/A,#N/A,FALSE,"open";#N/A,#N/A,FALSE,"bs";#N/A,#N/A,FALSE,"is";#N/A,#N/A,FALSE,"cf"}</definedName>
    <definedName name="LOB5AAA" localSheetId="25" hidden="1">{#N/A,#N/A,FALSE,"assump";#N/A,#N/A,FALSE,"open";#N/A,#N/A,FALSE,"bs";#N/A,#N/A,FALSE,"is";#N/A,#N/A,FALSE,"cf"}</definedName>
    <definedName name="LOB5REPORT" localSheetId="25" hidden="1">{#N/A,#N/A,FALSE,"assump";#N/A,#N/A,FALSE,"open";#N/A,#N/A,FALSE,"bs";#N/A,#N/A,FALSE,"is";#N/A,#N/A,FALSE,"cf"}</definedName>
    <definedName name="LOB5XXX" localSheetId="25" hidden="1">{#N/A,#N/A,FALSE,"assump";#N/A,#N/A,FALSE,"open";#N/A,#N/A,FALSE,"bs";#N/A,#N/A,FALSE,"is";#N/A,#N/A,FALSE,"cf"}</definedName>
    <definedName name="LOB5YYY" localSheetId="25" hidden="1">{#N/A,#N/A,FALSE,"assump";#N/A,#N/A,FALSE,"open";#N/A,#N/A,FALSE,"bs";#N/A,#N/A,FALSE,"is";#N/A,#N/A,FALSE,"cf"}</definedName>
    <definedName name="LOB5ZZZ" localSheetId="25" hidden="1">{#N/A,#N/A,FALSE,"assump";#N/A,#N/A,FALSE,"open";#N/A,#N/A,FALSE,"bs";#N/A,#N/A,FALSE,"is";#N/A,#N/A,FALSE,"cf"}</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 localSheetId="25" hidden="1">{#N/A,#N/A,FALSE,"CNS";#N/A,#N/A,FALSE,"Serz";#N/A,#N/A,FALSE,"Ace"}</definedName>
    <definedName name="Malcolm" localSheetId="25" hidden="1">{"Budget V Actual YTD",#N/A,FALSE,"Budget v Actual"}</definedName>
    <definedName name="matrix" localSheetId="25"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MDI" localSheetId="25" hidden="1">{#N/A,#N/A,FALSE,"SUMMARY";#N/A,#N/A,FALSE,"mcsh";#N/A,#N/A,FALSE,"vol&amp;rev";#N/A,#N/A,FALSE,"wkgcap";#N/A,#N/A,FALSE,"DEPR&amp;DT";#N/A,#N/A,FALSE,"ASSETS";#N/A,#N/A,FALSE,"NI&amp;OTH&amp;DIV";#N/A,#N/A,FALSE,"CASHFLOW";#N/A,#N/A,FALSE,"CAPEMPL";#N/A,#N/A,FALSE,"ROCE"}</definedName>
    <definedName name="Me" localSheetId="25" hidden="1">{#N/A,#N/A,TRUE,"index";#N/A,#N/A,TRUE,"Summary";#N/A,#N/A,TRUE,"Continuing Business";#N/A,#N/A,TRUE,"Disposals";#N/A,#N/A,TRUE,"Acquisitions";#N/A,#N/A,TRUE,"Actual &amp; Plan Reconciliation"}</definedName>
    <definedName name="Med_prod" localSheetId="25" hidden="1">{#N/A,#N/A,FALSE,"Prem_Sum";#N/A,#N/A,FALSE,"Prem"}</definedName>
    <definedName name="Med_prod.xls" localSheetId="25" hidden="1">{#N/A,#N/A,FALSE,"FACTSHEETS";#N/A,#N/A,FALSE,"pump";#N/A,#N/A,FALSE,"filter"}</definedName>
    <definedName name="Med_products" localSheetId="25" hidden="1">{#N/A,#N/A,FALSE,"FACTSHEETS";#N/A,#N/A,FALSE,"pump";#N/A,#N/A,FALSE,"filter"}</definedName>
    <definedName name="Memo" localSheetId="25" hidden="1">{#N/A,#N/A,FALSE,"Set-Up";#N/A,#N/A,FALSE,"Comparison";#N/A,#N/A,FALSE,"AR";#N/A,#N/A,FALSE,"Inv";#N/A,#N/A,FALSE,"Concentrations";#N/A,#N/A,FALSE,"Past Dues";#N/A,#N/A,FALSE,"Trends";#N/A,#N/A,FALSE,"AR Trends";#N/A,#N/A,FALSE,"Inv Trends"}</definedName>
    <definedName name="mf" localSheetId="25" hidden="1">{"PAGE 1",#N/A,FALSE,"WEST_OT"}</definedName>
    <definedName name="mfgr" localSheetId="25" hidden="1">{"PAGE 1",#N/A,FALSE,"WEST_OT"}</definedName>
    <definedName name="mfgtest" localSheetId="25" hidden="1">{"PAGE 1",#N/A,FALSE,"WEST_OT"}</definedName>
    <definedName name="Midwest" localSheetId="25" hidden="1">{"FY02_Assets",#N/A,FALSE,"Fin Stmt Budget";"FY02_Liabilities",#N/A,FALSE,"Fin Stmt Budget";"FY02_Inc_Stmt",#N/A,FALSE,"Fin Stmt Budget";"FY02_SOCF",#N/A,FALSE,"Fin Stmt Budget"}</definedName>
    <definedName name="min" localSheetId="25" hidden="1">{#N/A,#N/A,FALSE,"REPORT"}</definedName>
    <definedName name="mina" localSheetId="25" hidden="1">{#N/A,#N/A,FALSE,"REPORT"}</definedName>
    <definedName name="mj" localSheetId="25" hidden="1">{#N/A,#N/A,FALSE,"FY97";#N/A,#N/A,FALSE,"FY98";#N/A,#N/A,FALSE,"FY99";#N/A,#N/A,FALSE,"FY00";#N/A,#N/A,FALSE,"FY01"}</definedName>
    <definedName name="MKL" localSheetId="25" hidden="1">{"IS",#N/A,FALSE,"IS";"RPTIS",#N/A,FALSE,"RPTIS";"STATS",#N/A,FALSE,"STATS";"BS",#N/A,FALSE,"BS"}</definedName>
    <definedName name="mlw" localSheetId="25" hidden="1">{#N/A,#N/A,FALSE,"Pharm";#N/A,#N/A,FALSE,"WWCM"}</definedName>
    <definedName name="mm"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mmm" localSheetId="25" hidden="1">{#N/A,#N/A,FALSE,"TopTen Failures";#N/A,#N/A,FALSE,"Top Ten %";#N/A,#N/A,FALSE,"Fail Code 5 mo. Totals (%)"}</definedName>
    <definedName name="mmmm" localSheetId="25" hidden="1">{"Data Worksheet",#N/A,FALSE,"CAREY97"}</definedName>
    <definedName name="mmmmm" localSheetId="25" hidden="1">{#N/A,#N/A,FALSE,"Calc";#N/A,#N/A,FALSE,"Sensitivity";#N/A,#N/A,FALSE,"LT Earn.Dil.";#N/A,#N/A,FALSE,"Dil. AVP"}</definedName>
    <definedName name="mmmmmmmmmmmm" localSheetId="25" hidden="1">{"Headcount Worksheet",#N/A,FALSE,"HEADCOUNT"}</definedName>
    <definedName name="momo" localSheetId="25" hidden="1">{"Data Worksheet",#N/A,FALSE,"CAREY97"}</definedName>
    <definedName name="momom" localSheetId="25" hidden="1">{"Headcount Worksheet",#N/A,FALSE,"HEADCOUNT"}</definedName>
    <definedName name="mon" localSheetId="25" hidden="1">{"Results Worksheets",#N/A,FALSE,"RESULTS"}</definedName>
    <definedName name="Monkey" localSheetId="25" hidden="1">{#N/A,#N/A,FALSE,"IPO";#N/A,#N/A,FALSE,"DCF";#N/A,#N/A,FALSE,"LBO";#N/A,#N/A,FALSE,"MULT_VAL";#N/A,#N/A,FALSE,"Status Quo";#N/A,#N/A,FALSE,"Recap"}</definedName>
    <definedName name="Mults02" localSheetId="25" hidden="1">{#N/A,#N/A,FALSE,"Projections";#N/A,#N/A,FALSE,"Multiples Valuation";#N/A,#N/A,FALSE,"LBO";#N/A,#N/A,FALSE,"Multiples_Sensitivity";#N/A,#N/A,FALSE,"Summary"}</definedName>
    <definedName name="mw" localSheetId="25" hidden="1">{#N/A,#N/A,FALSE,"Pharm";#N/A,#N/A,FALSE,"WWCM"}</definedName>
    <definedName name="nameconf1" localSheetId="25" hidden="1">{#N/A,#N/A,TRUE,"Sch-1a";#N/A,#N/A,TRUE,"Sch-1b";#N/A,#N/A,TRUE,"Sch-1c";#N/A,#N/A,TRUE,"Sch-1d";#N/A,#N/A,TRUE,"Sch-2a";#N/A,#N/A,TRUE,"Sch-2b";#N/A,#N/A,TRUE,"Sch-2c";#N/A,#N/A,TRUE,"Sch-3a";#N/A,#N/A,TRUE,"Sch-3b";#N/A,#N/A,TRUE,"Sch-3c";#N/A,#N/A,TRUE,"Sch-3d";#N/A,#N/A,TRUE,"Sch-3e"}</definedName>
    <definedName name="nb.orm." localSheetId="25" hidden="1">{#N/A,#N/A,FALSE,"ORM-1";#N/A,#N/A,FALSE,"ORM-2";"ORM-3",#N/A,FALSE,"FR-2 &amp; ORM-3";#N/A,#N/A,FALSE,"ORM-4";#N/A,#N/A,FALSE,"ORM-5";#N/A,#N/A,FALSE,"ORM-6";#N/A,#N/A,FALSE,"ORM-7";#N/A,#N/A,FALSE,"ORM - 8";#N/A,#N/A,FALSE,"ORM-9-A";#N/A,#N/A,FALSE,"ORM-10-A";#N/A,#N/A,FALSE,"ORM-11-A";#N/A,#N/A,FALSE,"ORM-12-A";#N/A,#N/A,FALSE,"ORM-13-A";#N/A,#N/A,FALSE,"ORM-14-A";#N/A,#N/A,FALSE,"ORM - 15-A";#N/A,#N/A,FALSE,"ORM - 16-A";#N/A,#N/A,FALSE,"ORM - 17-A";#N/A,#N/A,FALSE,"ORM -18-A";#N/A,#N/A,FALSE,"ORM -19-A"}</definedName>
    <definedName name="new" localSheetId="25" hidden="1">{#N/A,#N/A,FALSE,"Projections";#N/A,#N/A,FALSE,"Multiples Valuation";#N/A,#N/A,FALSE,"LBO";#N/A,#N/A,FALSE,"Multiples_Sensitivity";#N/A,#N/A,FALSE,"Summary"}</definedName>
    <definedName name="newbel" localSheetId="25" hidden="1">{"IS",#N/A,FALSE,"IS";"RPTIS",#N/A,FALSE,"RPTIS";"STATS",#N/A,FALSE,"STATS";"CELL",#N/A,FALSE,"CELL";"BS",#N/A,FALSE,"BS"}</definedName>
    <definedName name="newbel1" localSheetId="25" hidden="1">{"IS",#N/A,FALSE,"IS";"RPTIS",#N/A,FALSE,"RPTIS";"STATS",#N/A,FALSE,"STATS";"CELL",#N/A,FALSE,"CELL";"BS",#N/A,FALSE,"BS"}</definedName>
    <definedName name="newdata" localSheetId="25" hidden="1">{"PAGE 1",#N/A,FALSE,"WEST_OT"}</definedName>
    <definedName name="newdata2" localSheetId="25" hidden="1">{"PAGE 1",#N/A,FALSE,"WEST_OT"}</definedName>
    <definedName name="newdcf" localSheetId="25" hidden="1">{#N/A,#N/A,TRUE,"DCF Summary (2)";#N/A,#N/A,TRUE,"DCF Summary";#N/A,"Middle Case Drivers",TRUE,"DCF"}</definedName>
    <definedName name="newmain" localSheetId="25" hidden="1">{#N/A,#N/A,FALSE,"Return";"Summary Inc Stmt",#N/A,FALSE,"IncStmt";#N/A,#N/A,FALSE,"Prod";"Summary Input",#N/A,FALSE,"Input"}</definedName>
    <definedName name="NewName" localSheetId="25" hidden="1">{"Assumptions",#N/A,FALSE,"Sheet1";"Main Report",#N/A,FALSE,"Sheet1";"Results",#N/A,FALSE,"Sheet1";"Advances",#N/A,FALSE,"Sheet1"}</definedName>
    <definedName name="newnewnew" localSheetId="25" hidden="1">{#N/A,#N/A,FALSE,"Pharm";#N/A,#N/A,FALSE,"WWCM"}</definedName>
    <definedName name="nn" localSheetId="25" hidden="1">{#N/A,#N/A,FALSE,"SUMMARY";#N/A,#N/A,FALSE,"TECHNOLOGY";#N/A,#N/A,FALSE,"YEAR2000";#N/A,#N/A,FALSE,"GENERAL SERVICES";#N/A,#N/A,FALSE,"PROD MANAGE";#N/A,#N/A,FALSE,"BOG";#N/A,#N/A,FALSE,"PROT CONT";#N/A,#N/A,FALSE,"INVEST COMP"}</definedName>
    <definedName name="nnn" localSheetId="25" hidden="1">{#N/A,#N/A,TRUE,"Sch-1a";#N/A,#N/A,TRUE,"Sch-1b";#N/A,#N/A,TRUE,"Sch-1c";#N/A,#N/A,TRUE,"Sch-1d";#N/A,#N/A,TRUE,"Sch-2a";#N/A,#N/A,TRUE,"Sch-2b";#N/A,#N/A,TRUE,"Sch-2c";#N/A,#N/A,TRUE,"Sch-3a";#N/A,#N/A,TRUE,"Sch-3b";#N/A,#N/A,TRUE,"Sch-3c";#N/A,#N/A,TRUE,"Sch-3d";#N/A,#N/A,TRUE,"Sch-3e"}</definedName>
    <definedName name="nnnb" localSheetId="25" hidden="1">{"consolidated",#N/A,FALSE,"Sheet1";"cms",#N/A,FALSE,"Sheet1";"fse",#N/A,FALSE,"Sheet1"}</definedName>
    <definedName name="nnnn" localSheetId="25" hidden="1">{#N/A,#N/A,FALSE,"Job Sched"}</definedName>
    <definedName name="nnnnnnn" localSheetId="25" hidden="1">{#N/A,#N/A,TRUE,"TS";#N/A,#N/A,TRUE,"Combo";#N/A,#N/A,TRUE,"FAIR";#N/A,#N/A,TRUE,"RBC";#N/A,#N/A,TRUE,"xxxx"}</definedName>
    <definedName name="No_nam" localSheetId="25" hidden="1">{#N/A,#N/A,FALSE,"Aging Summary";#N/A,#N/A,FALSE,"Ratio Analysis";#N/A,#N/A,FALSE,"Test 120 Day Accts";#N/A,#N/A,FALSE,"Tickmarks"}</definedName>
    <definedName name="noidea" localSheetId="25" hidden="1">{#N/A,#N/A,FALSE,"Calc";#N/A,#N/A,FALSE,"Sensitivity";#N/A,#N/A,FALSE,"LT Earn.Dil.";#N/A,#N/A,FALSE,"Dil. AVP"}</definedName>
    <definedName name="nouv" localSheetId="25" hidden="1">{#N/A,#N/A,FALSE,"Pharm";#N/A,#N/A,FALSE,"WWCM"}</definedName>
    <definedName name="now" localSheetId="25" hidden="1">{"Data Worksheet",#N/A,FALSE,"CAREY97"}</definedName>
    <definedName name="nubub" localSheetId="25" hidden="1">{"Headcount Worksheet",#N/A,FALSE,"HEADCOUNT"}</definedName>
    <definedName name="nuovo" localSheetId="25"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nv" localSheetId="25" hidden="1">{"Assets",#N/A,FALSE,"Balance Sheet";"Liabilities",#N/A,FALSE,"Balance Sheet"}</definedName>
    <definedName name="ny" localSheetId="25" hidden="1">{"Results Worksheets",#N/A,FALSE,"RESULTS"}</definedName>
    <definedName name="o" localSheetId="25" hidden="1">{#N/A,#N/A,FALSE,"SUMMARY";#N/A,#N/A,FALSE,"mcsh";#N/A,#N/A,FALSE,"vol&amp;rev";#N/A,#N/A,FALSE,"wkgcap";#N/A,#N/A,FALSE,"DEPR&amp;DT";#N/A,#N/A,FALSE,"ASSETS";#N/A,#N/A,FALSE,"NI&amp;OTH&amp;DIV";#N/A,#N/A,FALSE,"CASHFLOW";#N/A,#N/A,FALSE,"CAPEMPL";#N/A,#N/A,FALSE,"ROCE"}</definedName>
    <definedName name="obl" localSheetId="25" hidden="1">{#N/A,#N/A,FALSE,"Summary";#N/A,#N/A,FALSE,"Projections";#N/A,#N/A,FALSE,"Mkt Mults";#N/A,#N/A,FALSE,"DCF";#N/A,#N/A,FALSE,"Accr Dil";#N/A,#N/A,FALSE,"PIC LBO";#N/A,#N/A,FALSE,"MULT10_4";#N/A,#N/A,FALSE,"CBI LBO"}</definedName>
    <definedName name="od" localSheetId="25" hidden="1">{"Results Worksheets",#N/A,FALSE,"RESULTS"}</definedName>
    <definedName name="OK" localSheetId="25" hidden="1">{#N/A,#N/A,FALSE,"REPORT"}</definedName>
    <definedName name="okay" localSheetId="25" hidden="1">{#N/A,#N/A,FALSE,"INPUTS";#N/A,#N/A,FALSE,"PROFORMA BSHEET";#N/A,#N/A,FALSE,"COMBINED";#N/A,#N/A,FALSE,"HIGH YIELD";#N/A,#N/A,FALSE,"COMB_GRAPHS"}</definedName>
    <definedName name="olddata" localSheetId="25" hidden="1">{"PAGE 1",#N/A,FALSE,"WEST_OT"}</definedName>
    <definedName name="olddata1" localSheetId="25" hidden="1">{"PAGE 1",#N/A,FALSE,"WEST_OT"}</definedName>
    <definedName name="olddata2" localSheetId="25" hidden="1">{"PAGE 1",#N/A,FALSE,"WEST_OT"}</definedName>
    <definedName name="olddata3" localSheetId="25" hidden="1">{"PAGE 1",#N/A,FALSE,"WEST_OT"}</definedName>
    <definedName name="on"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ONE"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oo" localSheetId="25" hidden="1">{#N/A,#N/A,FALSE,"SUMMARY";#N/A,#N/A,FALSE,"TECHNOLOGY";#N/A,#N/A,FALSE,"YEAR2000";#N/A,#N/A,FALSE,"GENERAL SERVICES";#N/A,#N/A,FALSE,"PROD MANAGE";#N/A,#N/A,FALSE,"BOG";#N/A,#N/A,FALSE,"PROT CONT";#N/A,#N/A,FALSE,"INVEST COMP"}</definedName>
    <definedName name="ooo" localSheetId="25" hidden="1">{#N/A,#N/A,FALSE,"REPORT"}</definedName>
    <definedName name="oooo"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ooooo" localSheetId="25" hidden="1">{#N/A,#N/A,FALSE,"Calc";#N/A,#N/A,FALSE,"Sensitivity";#N/A,#N/A,FALSE,"LT Earn.Dil.";#N/A,#N/A,FALSE,"Dil. AVP"}</definedName>
    <definedName name="opopop" localSheetId="25" hidden="1">{#N/A,#N/A,TRUE,"index";#N/A,#N/A,TRUE,"Summary";#N/A,#N/A,TRUE,"Continuing Business";#N/A,#N/A,TRUE,"Disposals";#N/A,#N/A,TRUE,"Acquisitions";#N/A,#N/A,TRUE,"Actual &amp; Plan Reconciliation"}</definedName>
    <definedName name="other33" localSheetId="25" hidden="1">{#N/A,#N/A,FALSE,"Pharm";#N/A,#N/A,FALSE,"WWCM"}</definedName>
    <definedName name="othercosts" localSheetId="25" hidden="1">{#N/A,#N/A,FALSE,"Aging Summary";#N/A,#N/A,FALSE,"Ratio Analysis";#N/A,#N/A,FALSE,"Test 120 Day Accts";#N/A,#N/A,FALSE,"Tickmarks"}</definedName>
    <definedName name="othermar" localSheetId="25" hidden="1">{#N/A,#N/A,FALSE,"Pharm";#N/A,#N/A,FALSE,"WWCM"}</definedName>
    <definedName name="p" localSheetId="25" hidden="1">{#N/A,#N/A,FALSE,"SYSOC";#N/A,#N/A,FALSE,"RESU-GESTION";#N/A,#N/A,FALSE,"EVOL-MNA";#N/A,#N/A,FALSE,"VTAS-ANALI";#N/A,#N/A,FALSE,"ANALI-GSFIJOS";#N/A,#N/A,FALSE,"DETA-RUBROS";#N/A,#N/A,FALSE,"ANALI-CNF";#N/A,#N/A,FALSE,"BILAN";#N/A,#N/A,FALSE,"TAB_FIN";#N/A,#N/A,FALSE,"IND_ECO"}</definedName>
    <definedName name="p.kh" localSheetId="25" hidden="1">{#N/A,#N/A,FALSE,"Heat";#N/A,#N/A,FALSE,"DCF";#N/A,#N/A,FALSE,"LBO";#N/A,#N/A,FALSE,"A";#N/A,#N/A,FALSE,"C";#N/A,#N/A,FALSE,"impd";#N/A,#N/A,FALSE,"Accr-Dilu"}</definedName>
    <definedName name="pac" localSheetId="25" hidden="1">{TRUE,TRUE,-1.25,-15.5,456.75,279.75,FALSE,FALSE,TRUE,TRUE,0,1,18,1,199,6,3,4,TRUE,TRUE,3,TRUE,1,TRUE,100,"Swvu.cash.","ACwvu.cash.",1,FALSE,FALSE,0.511811023622047,0.511811023622047,0.511811023622047,0.511811023622047,1,"","",FALSE,FALSE,FALSE,FALSE,1,#N/A,1,1,#DIV/0!,FALSE,"Rwvu.cash.",#N/A,FALSE,FALSE}</definedName>
    <definedName name="patty" localSheetId="25" hidden="1">{"PAGE 1",#N/A,FALSE,"WEST_OT"}</definedName>
    <definedName name="Pechous" localSheetId="25" hidden="1">{"FY01_Assets",#N/A,FALSE,"Fin Stmt Budget";"FY01_Liabilities",#N/A,FALSE,"Fin Stmt Budget";"FY01_Inc_Stmt",#N/A,FALSE,"Fin Stmt Budget";"FY01_SOCF",#N/A,FALSE,"Fin Stmt Budget"}</definedName>
    <definedName name="pepe" localSheetId="25" hidden="1">{#N/A,#N/A,FALSE,"Pharm";#N/A,#N/A,FALSE,"WWCM"}</definedName>
    <definedName name="PEPE4" localSheetId="25" hidden="1">{#N/A,#N/A,FALSE,"Pharm";#N/A,#N/A,FALSE,"WWCM"}</definedName>
    <definedName name="PEPE5" localSheetId="25" hidden="1">{#N/A,#N/A,FALSE,"Pharm";#N/A,#N/A,FALSE,"WWCM"}</definedName>
    <definedName name="perm" localSheetId="25" hidden="1">{"PAGE 1",#N/A,FALSE,"WEST_OT"}</definedName>
    <definedName name="perm1" localSheetId="25" hidden="1">{"PAGE 1",#N/A,FALSE,"WEST_OT"}</definedName>
    <definedName name="perm3" localSheetId="25" hidden="1">{"PAGE 1",#N/A,FALSE,"WEST_OT"}</definedName>
    <definedName name="perm4" localSheetId="25" hidden="1">{"PAGE 1",#N/A,FALSE,"WEST_OT"}</definedName>
    <definedName name="perm5" localSheetId="25" hidden="1">{"PAGE 2",#N/A,FALSE,"WEST_OT"}</definedName>
    <definedName name="perm6" localSheetId="25" hidden="1">{"PAGE 2",#N/A,FALSE,"WEST_OT"}</definedName>
    <definedName name="perm7" localSheetId="25" hidden="1">{"PAGE 1",#N/A,FALSE,"WEST_OT"}</definedName>
    <definedName name="pharma" localSheetId="25" hidden="1">{#N/A,#N/A,FALSE,"Sales Graph";#N/A,#N/A,FALSE,"PSBM";#N/A,#N/A,FALSE,"BUC Graph";#N/A,#N/A,FALSE,"P&amp;L - YTD"}</definedName>
    <definedName name="pl" localSheetId="25" hidden="1">{#N/A,#N/A,FALSE,"REPORT"}</definedName>
    <definedName name="PlanVLE" localSheetId="25" hidden="1">{#N/A,#N/A,FALSE,"SUMMARY";#N/A,#N/A,FALSE,"mcsh";#N/A,#N/A,FALSE,"vol&amp;rev";#N/A,#N/A,FALSE,"wkgcap";#N/A,#N/A,FALSE,"DEPR&amp;DT";#N/A,#N/A,FALSE,"ASSETS";#N/A,#N/A,FALSE,"NI&amp;OTH&amp;DIV";#N/A,#N/A,FALSE,"CASHFLOW";#N/A,#N/A,FALSE,"CAPEMPL";#N/A,#N/A,FALSE,"ROCE"}</definedName>
    <definedName name="PLCepi" localSheetId="25" hidden="1">{#N/A,#N/A,FALSE,"REPORT"}</definedName>
    <definedName name="ploi" localSheetId="25" hidden="1">{#N/A,#N/A,FALSE,"Assump2";#N/A,#N/A,FALSE,"Income2";#N/A,#N/A,FALSE,"Balance2";#N/A,#N/A,FALSE,"DCF Filter";#N/A,#N/A,FALSE,"Trans Assump2";#N/A,#N/A,FALSE,"Combined Income2";#N/A,#N/A,FALSE,"Combined Balance2"}</definedName>
    <definedName name="PLProcef" localSheetId="25" hidden="1">{#N/A,#N/A,FALSE,"REPORT"}</definedName>
    <definedName name="PLTaxol" localSheetId="25" hidden="1">{#N/A,#N/A,FALSE,"REPORT"}</definedName>
    <definedName name="Pnl" localSheetId="25" hidden="1">{#N/A,#N/A,FALSE,"Pharm";#N/A,#N/A,FALSE,"WWCM"}</definedName>
    <definedName name="poop" localSheetId="25"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port29" localSheetId="25" hidden="1">{#N/A,#N/A,FALSE,"Pharm";#N/A,#N/A,FALSE,"WWCM"}</definedName>
    <definedName name="pp" localSheetId="25" hidden="1">{#N/A,#N/A,FALSE,"SUMMARY";#N/A,#N/A,FALSE,"TECHNOLOGY";#N/A,#N/A,FALSE,"YEAR2000";#N/A,#N/A,FALSE,"GENERAL SERVICES";#N/A,#N/A,FALSE,"PROD MANAGE";#N/A,#N/A,FALSE,"BOG";#N/A,#N/A,FALSE,"PROT CONT";#N/A,#N/A,FALSE,"INVEST COMP"}</definedName>
    <definedName name="ppp" localSheetId="25" hidden="1">{#N/A,#N/A,FALSE,"Bakersfield PCs";#N/A,#N/A,FALSE,"Bremer PCs";#N/A,#N/A,FALSE,"Bakersfield Notebooks"}</definedName>
    <definedName name="pr" localSheetId="25" hidden="1">{#N/A,#N/A,FALSE,"SUMMARY";#N/A,#N/A,FALSE,"TECHNOLOGY";#N/A,#N/A,FALSE,"YEAR2000";#N/A,#N/A,FALSE,"GENERAL SERVICES";#N/A,#N/A,FALSE,"PROD MANAGE";#N/A,#N/A,FALSE,"BOG";#N/A,#N/A,FALSE,"PROT CONT";#N/A,#N/A,FALSE,"INVEST COMP"}</definedName>
    <definedName name="PremiumPaidSUmmary" localSheetId="25" hidden="1">{#N/A,#N/A,FALSE,"Projections";#N/A,#N/A,FALSE,"Multiples Valuation";#N/A,#N/A,FALSE,"LBO";#N/A,#N/A,FALSE,"Multiples_Sensitivity";#N/A,#N/A,FALSE,"Summary"}</definedName>
    <definedName name="Premiums_Trend_Change" localSheetId="25" hidden="1">{#N/A,#N/A,FALSE,"Return";#N/A,#N/A,FALSE,"BalSheet";#N/A,#N/A,FALSE,"IncStmt";#N/A,#N/A,FALSE,"Prod";#N/A,#N/A,FALSE,"Adjust";#N/A,#N/A,FALSE,"Input";#N/A,#N/A,FALSE,"Mkt1"}</definedName>
    <definedName name="Presentation" localSheetId="25"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prinallnew" localSheetId="25" hidden="1">{"sterling",#N/A,FALSE,"£";"USdollar",#N/A,FALSE,"USA$";"mark",#N/A,FALSE,"DM";"peseta",#N/A,FALSE,"Pta";"lira",#N/A,FALSE,"LIRA";"euro",#N/A,FALSE,"Euro";"Ausdollar",#N/A,FALSE,"Aus$";"other",#N/A,FALSE,"Other"}</definedName>
    <definedName name="PRO" localSheetId="25" hidden="1">{#N/A,#N/A,FALSE,"SUMMARY";#N/A,#N/A,FALSE,"TECHNOLOGY";#N/A,#N/A,FALSE,"YEAR2000";#N/A,#N/A,FALSE,"GENERAL SERVICES";#N/A,#N/A,FALSE,"PROD MANAGE";#N/A,#N/A,FALSE,"BOG";#N/A,#N/A,FALSE,"PROT CONT";#N/A,#N/A,FALSE,"INVEST COMP"}</definedName>
    <definedName name="PROC" localSheetId="25" hidden="1">{#N/A,#N/A,FALSE,"SUMMARY";#N/A,#N/A,FALSE,"TECHNOLOGY";#N/A,#N/A,FALSE,"YEAR2000";#N/A,#N/A,FALSE,"GENERAL SERVICES";#N/A,#N/A,FALSE,"PROD MANAGE";#N/A,#N/A,FALSE,"BOG";#N/A,#N/A,FALSE,"PROT CONT";#N/A,#N/A,FALSE,"INVEST COMP"}</definedName>
    <definedName name="Procef" localSheetId="25" hidden="1">{#N/A,#N/A,FALSE,"Pharm";#N/A,#N/A,FALSE,"WWCM"}</definedName>
    <definedName name="prod" localSheetId="25" hidden="1">{#N/A,#N/A,FALSE,"Pharm";#N/A,#N/A,FALSE,"WWCM"}</definedName>
    <definedName name="Product" localSheetId="25" hidden="1">{#N/A,#N/A,FALSE,"SUMMARY";#N/A,#N/A,FALSE,"TECHNOLOGY";#N/A,#N/A,FALSE,"YEAR2000";#N/A,#N/A,FALSE,"GENERAL SERVICES";#N/A,#N/A,FALSE,"PROD MANAGE";#N/A,#N/A,FALSE,"BOG";#N/A,#N/A,FALSE,"PROT CONT";#N/A,#N/A,FALSE,"INVEST COMP"}</definedName>
    <definedName name="profimp2" localSheetId="25" hidden="1">{"PAGE 1",#N/A,FALSE,"WEST_OT"}</definedName>
    <definedName name="profimp3" localSheetId="25" hidden="1">{"PAGE 2",#N/A,FALSE,"WEST_OT"}</definedName>
    <definedName name="profimp5" localSheetId="25" hidden="1">{"PAGE 1",#N/A,FALSE,"WEST_OT"}</definedName>
    <definedName name="profimptest" localSheetId="25" hidden="1">{"PAGE 2",#N/A,FALSE,"WEST_OT"}</definedName>
    <definedName name="PROT" localSheetId="25" hidden="1">{#N/A,#N/A,FALSE,"SUMMARY";#N/A,#N/A,FALSE,"TECHNOLOGY";#N/A,#N/A,FALSE,"YEAR2000";#N/A,#N/A,FALSE,"GENERAL SERVICES";#N/A,#N/A,FALSE,"PROD MANAGE";#N/A,#N/A,FALSE,"BOG";#N/A,#N/A,FALSE,"PROT CONT";#N/A,#N/A,FALSE,"INVEST COMP"}</definedName>
    <definedName name="prova" localSheetId="25"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tc"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q" localSheetId="25" hidden="1">{#N/A,#N/A,FALSE,"Projections";#N/A,#N/A,FALSE,"Multiples Valuation";#N/A,#N/A,FALSE,"LBO";#N/A,#N/A,FALSE,"Multiples_Sensitivity";#N/A,#N/A,FALSE,"Summary"}</definedName>
    <definedName name="qaz" localSheetId="25" hidden="1">{#N/A,#N/A,FALSE,"Pharm";#N/A,#N/A,FALSE,"WWCM"}</definedName>
    <definedName name="qertweyu" localSheetId="25" hidden="1">{#N/A,#N/A,FALSE,"REPORT"}</definedName>
    <definedName name="qetryywt" localSheetId="25" hidden="1">{#N/A,#N/A,FALSE,"REPORT"}</definedName>
    <definedName name="qq" localSheetId="25" hidden="1">{#N/A,#N/A,FALSE,"SUMMARY";#N/A,#N/A,FALSE,"TECHNOLOGY";#N/A,#N/A,FALSE,"YEAR2000";#N/A,#N/A,FALSE,"GENERAL SERVICES";#N/A,#N/A,FALSE,"PROD MANAGE";#N/A,#N/A,FALSE,"BOG";#N/A,#N/A,FALSE,"PROT CONT";#N/A,#N/A,FALSE,"INVEST COMP"}</definedName>
    <definedName name="qqq" localSheetId="25" hidden="1">{#N/A,#N/A,FALSE,"Pharm";#N/A,#N/A,FALSE,"WWCM"}</definedName>
    <definedName name="qqwtweryey" localSheetId="25" hidden="1">{#N/A,#N/A,FALSE,"REPORT"}</definedName>
    <definedName name="QTD" localSheetId="25" hidden="1">{#N/A,#N/A,TRUE,"Sch-1a";#N/A,#N/A,TRUE,"Sch-1b";#N/A,#N/A,TRUE,"Sch-1c";#N/A,#N/A,TRUE,"Sch-1d";#N/A,#N/A,TRUE,"Sch-2a";#N/A,#N/A,TRUE,"Sch-2b";#N/A,#N/A,TRUE,"Sch-2c";#N/A,#N/A,TRUE,"Sch-3a";#N/A,#N/A,TRUE,"Sch-3b";#N/A,#N/A,TRUE,"Sch-3c";#N/A,#N/A,TRUE,"Sch-3d";#N/A,#N/A,TRUE,"Sch-3e"}</definedName>
    <definedName name="qw" localSheetId="25" hidden="1">{#N/A,#N/A,FALSE,"REPORT"}</definedName>
    <definedName name="qwe" localSheetId="25" hidden="1">{#N/A,#N/A,FALSE,"Projections";#N/A,#N/A,FALSE,"Multiples Valuation";#N/A,#N/A,FALSE,"LBO";#N/A,#N/A,FALSE,"Multiples_Sensitivity";#N/A,#N/A,FALSE,"Summary"}</definedName>
    <definedName name="qwertqry" localSheetId="25" hidden="1">{#N/A,#N/A,FALSE,"REPORT"}</definedName>
    <definedName name="qwetqryetytu" localSheetId="25" hidden="1">{#N/A,#N/A,FALSE,"Pharm";#N/A,#N/A,FALSE,"WWCM"}</definedName>
    <definedName name="rarte" localSheetId="25" hidden="1">{#N/A,#N/A,FALSE,"Bakersfield PCs";#N/A,#N/A,FALSE,"Bremer PCs";#N/A,#N/A,FALSE,"Bakersfield Notebooks"}</definedName>
    <definedName name="RE" localSheetId="2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recon" localSheetId="25" hidden="1">{#N/A,#N/A,FALSE,"Aging Summary";#N/A,#N/A,FALSE,"Ratio Analysis";#N/A,#N/A,FALSE,"Test 120 Day Accts";#N/A,#N/A,FALSE,"Tickmarks"}</definedName>
    <definedName name="redo" localSheetId="25" hidden="1">{#N/A,#N/A,FALSE,"ACQ_GRAPHS";#N/A,#N/A,FALSE,"T_1 GRAPHS";#N/A,#N/A,FALSE,"T_2 GRAPHS";#N/A,#N/A,FALSE,"COMB_GRAPHS"}</definedName>
    <definedName name="reggie" localSheetId="25" hidden="1">{#N/A,#N/A,FALSE,"Pharm";#N/A,#N/A,FALSE,"WWCM"}</definedName>
    <definedName name="Related" localSheetId="25" hidden="1">{#N/A,#N/A,FALSE,"Job Sched"}</definedName>
    <definedName name="relativevalue2" localSheetId="25" hidden="1">{#N/A,#N/A,FALSE,"Bakersfield PCs";#N/A,#N/A,FALSE,"Bremer PCs";#N/A,#N/A,FALSE,"Bakersfield Notebooks"}</definedName>
    <definedName name="relativevalue3" localSheetId="25" hidden="1">{#N/A,#N/A,FALSE,"Bakersfield PCs";#N/A,#N/A,FALSE,"Bremer PCs";#N/A,#N/A,FALSE,"Bakersfield Notebooks"}</definedName>
    <definedName name="report" localSheetId="25" hidden="1">{#N/A,#N/A,TRUE,"Sch-1a";#N/A,#N/A,TRUE,"Sch-1b";#N/A,#N/A,TRUE,"Sch-1c";#N/A,#N/A,TRUE,"Sch-1d";#N/A,#N/A,TRUE,"Sch-2a";#N/A,#N/A,TRUE,"Sch-2b";#N/A,#N/A,TRUE,"Sch-2c";#N/A,#N/A,TRUE,"Sch-3a";#N/A,#N/A,TRUE,"Sch-3b";#N/A,#N/A,TRUE,"Sch-3c";#N/A,#N/A,TRUE,"Sch-3d";#N/A,#N/A,TRUE,"Sch-3e"}</definedName>
    <definedName name="reps" localSheetId="25" hidden="1">{"FY03_Assets",#N/A,FALSE,"Fin Stmt Budget";"FY03_Liabilities",#N/A,FALSE,"Fin Stmt Budget";"FY03_Inc_Stmt",#N/A,FALSE,"Fin Stmt Budget";"FY03_SOCF",#N/A,FALSE,"Fin Stmt Budget"}</definedName>
    <definedName name="resp." localSheetId="25" hidden="1">{#N/A,#N/A,FALSE,"Pharm";#N/A,#N/A,FALSE,"WWCM"}</definedName>
    <definedName name="RESUSMO1" localSheetId="25" hidden="1">{#N/A,#N/A,FALSE,"DEMPROV IR";#N/A,#N/A,FALSE,"INC.FISC";#N/A,#N/A,FALSE,"LUCRO REAL";#N/A,#N/A,FALSE,"L.LIQ.M";#N/A,#N/A,FALSE,"PROV96";#N/A,#N/A,FALSE,"L.LIQU.";#N/A,#N/A,FALSE,"ADIEXCL";#N/A,#N/A,FALSE,"PAT-VT96";#N/A,#N/A,FALSE,"DPO.INC."}</definedName>
    <definedName name="rf2e" localSheetId="25" hidden="1">{#N/A,#N/A,FALSE,"Pharm";#N/A,#N/A,FALSE,"WWCM"}</definedName>
    <definedName name="RG" localSheetId="25" hidden="1">{TRUE,TRUE,-1.25,-15.5,456.75,279.75,FALSE,FALSE,TRUE,TRUE,0,1,8,1,4,6,3,4,TRUE,TRUE,3,TRUE,1,TRUE,100,"Swvu.turnover.","ACwvu.turnover.",1,FALSE,FALSE,0.511811023622047,0.511811023622047,0.511811023622047,0.511811023622047,1,"","",FALSE,FALSE,FALSE,FALSE,1,#N/A,1,1,#DIV/0!,FALSE,"Rwvu.turnover.",#N/A,FALSE,FALSE}</definedName>
    <definedName name="Rick" localSheetId="25"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R" localSheetId="25" hidden="1">{#N/A,#N/A,FALSE,"DEMPROV IR";#N/A,#N/A,FALSE,"INC.FISC";#N/A,#N/A,FALSE,"LUCRO REAL";#N/A,#N/A,FALSE,"L.LIQ.M";#N/A,#N/A,FALSE,"PROV96";#N/A,#N/A,FALSE,"L.LIQU.";#N/A,#N/A,FALSE,"ADIEXCL";#N/A,#N/A,FALSE,"PAT-VT96";#N/A,#N/A,FALSE,"DPO.INC."}</definedName>
    <definedName name="ROLLUPREPORT" localSheetId="25" hidden="1">{#N/A,#N/A,FALSE,"assump";#N/A,#N/A,FALSE,"open";#N/A,#N/A,FALSE,"bs";#N/A,#N/A,FALSE,"is";#N/A,#N/A,FALSE,"cf"}</definedName>
    <definedName name="rr" localSheetId="25" hidden="1">{#N/A,#N/A,FALSE,"SUMMARY";#N/A,#N/A,FALSE,"TECHNOLOGY";#N/A,#N/A,FALSE,"YEAR2000";#N/A,#N/A,FALSE,"GENERAL SERVICES";#N/A,#N/A,FALSE,"PROD MANAGE";#N/A,#N/A,FALSE,"BOG";#N/A,#N/A,FALSE,"PROT CONT";#N/A,#N/A,FALSE,"INVEST COMP"}</definedName>
    <definedName name="rrrrr" localSheetId="25" hidden="1">{#N/A,#N/A,FALSE,"Pharm";#N/A,#N/A,FALSE,"WWCM"}</definedName>
    <definedName name="rsem" localSheetId="25" hidden="1">{#N/A,#N/A,FALSE,"1996";#N/A,#N/A,FALSE,"1995";#N/A,#N/A,FALSE,"1994"}</definedName>
    <definedName name="rwert" localSheetId="25" hidden="1">{#N/A,#N/A,FALSE,"Pharm";#N/A,#N/A,FALSE,"WWCM"}</definedName>
    <definedName name="saa" localSheetId="25" hidden="1">{"rtn",#N/A,FALSE,"RTN";"tables",#N/A,FALSE,"RTN";"cf",#N/A,FALSE,"CF";"stats",#N/A,FALSE,"Stats";"prop",#N/A,FALSE,"Prop"}</definedName>
    <definedName name="saf" localSheetId="25" hidden="1">{#N/A,#N/A,FALSE,"Projections";#N/A,#N/A,FALSE,"Contribution_Stock";#N/A,#N/A,FALSE,"PF_Combo_Stock";#N/A,#N/A,FALSE,"Projections";#N/A,#N/A,FALSE,"Contribution_Cash";#N/A,#N/A,FALSE,"PF_Combo_Cash";#N/A,#N/A,FALSE,"IPO_Cash"}</definedName>
    <definedName name="sally" localSheetId="25" hidden="1">{#N/A,#N/A,FALSE,"Pharm";#N/A,#N/A,FALSE,"WWCM"}</definedName>
    <definedName name="sas" localSheetId="25" hidden="1">{"Outflow 1",#N/A,FALSE,"Outflows-Inflows";"Outflow 2",#N/A,FALSE,"Outflows-Inflows";"Inflow 1",#N/A,FALSE,"Outflows-Inflows";"Inflow 2",#N/A,FALSE,"Outflows-Inflows"}</definedName>
    <definedName name="sd" localSheetId="25" hidden="1">{#N/A,#N/A,FALSE,"IPO";#N/A,#N/A,FALSE,"DCF";#N/A,#N/A,FALSE,"LBO";#N/A,#N/A,FALSE,"MULT_VAL";#N/A,#N/A,FALSE,"Status Quo";#N/A,#N/A,FALSE,"Recap"}</definedName>
    <definedName name="sdafgs" localSheetId="25" hidden="1">{#N/A,#N/A,FALSE,"Pharm";#N/A,#N/A,FALSE,"WWCM"}</definedName>
    <definedName name="sdf" localSheetId="25" hidden="1">{#N/A,#N/A,FALSE,"Adj Proj";#N/A,#N/A,FALSE,"Sheet1";#N/A,#N/A,FALSE,"LBO";#N/A,#N/A,FALSE,"LBOMER";#N/A,#N/A,FALSE,"WACC";#N/A,#N/A,FALSE,"DCF";#N/A,#N/A,FALSE,"DCFMER";#N/A,#N/A,FALSE,"Pooling";#N/A,#N/A,FALSE,"income";#N/A,#N/A,FALSE,"Offer"}</definedName>
    <definedName name="sdfass" localSheetId="25" hidden="1">{"Outflow 1",#N/A,FALSE,"Outflows-Inflows";"Outflow 2",#N/A,FALSE,"Outflows-Inflows";"Inflow 1",#N/A,FALSE,"Outflows-Inflows";"Inflow 2",#N/A,FALSE,"Outflows-Inflows"}</definedName>
    <definedName name="sdfdsaf" localSheetId="25" hidden="1">{"incomemth",#N/A,TRUE,"forecast01";"incpercentmth",#N/A,TRUE,"forecast01";"balancemth",#N/A,TRUE,"forecast01";"cashmth",#N/A,TRUE,"forecast01";"cov2mth",#N/A,TRUE,"forecast01";"prbexp",#N/A,TRUE,"forecast01";"prbcap",#N/A,TRUE,"forecast01";"coalconsultants",#N/A,TRUE,"forecast01";"prbsum",#N/A,TRUE,"forecast01"}</definedName>
    <definedName name="sdfgty" localSheetId="25"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sdfh" localSheetId="25" hidden="1">{#N/A,#N/A,FALSE,"Pharm";#N/A,#N/A,FALSE,"WWCM"}</definedName>
    <definedName name="SDFHG" localSheetId="25" hidden="1">{"Agg Output",#N/A,FALSE,"Operational Drivers Output";"NW Output",#N/A,FALSE,"Operational Drivers Output";"South Output",#N/A,FALSE,"Operational Drivers Output";"Central Output",#N/A,FALSE,"Operational Drivers Output"}</definedName>
    <definedName name="sdflkj" localSheetId="25" hidden="1">{"incomemth",#N/A,TRUE,"forecast01";"incpercentmth",#N/A,TRUE,"forecast01";"balancemth",#N/A,TRUE,"forecast01";"cashmth",#N/A,TRUE,"forecast01";"cov2mth",#N/A,TRUE,"forecast01";"prbexp",#N/A,TRUE,"forecast01";"prbcap",#N/A,TRUE,"forecast01";"coalconsultants",#N/A,TRUE,"forecast01";"prbsum",#N/A,TRUE,"forecast01"}</definedName>
    <definedName name="sdfsadfaasf" localSheetId="25" hidden="1">{#N/A,#N/A,TRUE,"Statements";#N/A,#N/A,TRUE,"Capital";#N/A,#N/A,TRUE,"TOT Monthly Inc";#N/A,#N/A,TRUE,"TOT REVENUE";#N/A,#N/A,TRUE,"Manpower";#N/A,#N/A,TRUE,"Overheads";#N/A,#N/A,TRUE,"Salary";#N/A,#N/A,TRUE,"Admin";#N/A,#N/A,TRUE,"Barbados";#N/A,#N/A,TRUE,"Product Mktg";#N/A,#N/A,TRUE,"CONS - SI";#N/A,#N/A,TRUE,"PROJECTS";#N/A,#N/A,TRUE,"R&amp;D";#N/A,#N/A,TRUE,"Cons S&amp;M";#N/A,#N/A,TRUE,"Mktg"}</definedName>
    <definedName name="sdfsdfsdf" localSheetId="25" hidden="1">{#N/A,#N/A,TRUE,"DCF Summary (2)";#N/A,#N/A,TRUE,"DCF Summary";#N/A,"Middle Case Drivers",TRUE,"DCF"}</definedName>
    <definedName name="sdft" localSheetId="25" hidden="1">{#N/A,#N/A,FALSE,"SUMMARY";#N/A,#N/A,FALSE,"mcsh";#N/A,#N/A,FALSE,"vol&amp;rev";#N/A,#N/A,FALSE,"wkgcap";#N/A,#N/A,FALSE,"DEPR&amp;DT";#N/A,#N/A,FALSE,"ASSETS";#N/A,#N/A,FALSE,"NI&amp;OTH&amp;DIV";#N/A,#N/A,FALSE,"CASHFLOW";#N/A,#N/A,FALSE,"CAPEMPL";#N/A,#N/A,FALSE,"ROCE"}</definedName>
    <definedName name="sdgagf" localSheetId="25" hidden="1">{#N/A,#N/A,FALSE,"Pharm";#N/A,#N/A,FALSE,"WWCM"}</definedName>
    <definedName name="sdhdhfdfhh" localSheetId="25" hidden="1">{#N/A,#N/A,FALSE,"Balance Sheet";#N/A,#N/A,FALSE,"Income Statement";#N/A,#N/A,FALSE,"Changes in Financial Position"}</definedName>
    <definedName name="sdsadasd" localSheetId="25" hidden="1">{#N/A,#N/A,FALSE,"Pharm";#N/A,#N/A,FALSE,"WWCM"}</definedName>
    <definedName name="sdsd" localSheetId="25" hidden="1">{#N/A,#N/A,FALSE,"REPORT"}</definedName>
    <definedName name="se" localSheetId="25" hidden="1">{"Results Worksheets",#N/A,FALSE,"RESULTS"}</definedName>
    <definedName name="sf" localSheetId="25" hidden="1">{#N/A,#N/A,FALSE,"Sales Graph";#N/A,#N/A,FALSE,"BUC Graph";#N/A,#N/A,FALSE,"P&amp;L - YTD"}</definedName>
    <definedName name="sfdirect" localSheetId="25" hidden="1">{#N/A,#N/A,FALSE,"REPORT"}</definedName>
    <definedName name="SFG" localSheetId="25" hidden="1">{TRUE,TRUE,-1.25,-15.5,456.75,279.75,FALSE,FALSE,TRUE,TRUE,0,1,21,1,127,6,3,4,TRUE,TRUE,3,TRUE,1,TRUE,100,"Swvu.profits.","ACwvu.profits.",1,FALSE,FALSE,0.511811023622047,0.511811023622047,0.511811023622047,0.511811023622047,1,"","",FALSE,FALSE,FALSE,FALSE,1,#N/A,1,1,#DIV/0!,FALSE,"Rwvu.profits.",#N/A,FALSE,FALSE}</definedName>
    <definedName name="sfgv" localSheetId="25" hidden="1">{"consolidated",#N/A,FALSE,"Sheet1";"cms",#N/A,FALSE,"Sheet1";"fse",#N/A,FALSE,"Sheet1"}</definedName>
    <definedName name="sfq" localSheetId="25" hidden="1">{#N/A,#N/A,FALSE,"Calc";#N/A,#N/A,FALSE,"Sensitivity";#N/A,#N/A,FALSE,"LT Earn.Dil.";#N/A,#N/A,FALSE,"Dil. AVP"}</definedName>
    <definedName name="sfsf" localSheetId="25" hidden="1">{#N/A,#N/A,FALSE,"Calc";#N/A,#N/A,FALSE,"Sensitivity";#N/A,#N/A,FALSE,"LT Earn.Dil.";#N/A,#N/A,FALSE,"Dil. AVP"}</definedName>
    <definedName name="sgd" localSheetId="25" hidden="1">{#N/A,#N/A,FALSE,"Calc";#N/A,#N/A,FALSE,"Sensitivity";#N/A,#N/A,FALSE,"LT Earn.Dil.";#N/A,#N/A,FALSE,"Dil. AVP"}</definedName>
    <definedName name="sgdg" localSheetId="25" hidden="1">{#N/A,#N/A,FALSE,"Calc";#N/A,#N/A,FALSE,"Sensitivity";#N/A,#N/A,FALSE,"LT Earn.Dil.";#N/A,#N/A,FALSE,"Dil. AVP"}</definedName>
    <definedName name="sgsx" localSheetId="25" hidden="1">{"consolidated",#N/A,FALSE,"Sheet1";"cms",#N/A,FALSE,"Sheet1";"fse",#N/A,FALSE,"Sheet1"}</definedName>
    <definedName name="Sheet2" localSheetId="25" hidden="1">{#N/A,#N/A,FALSE,"Adj Proj";#N/A,#N/A,FALSE,"Sheet1";#N/A,#N/A,FALSE,"LBO";#N/A,#N/A,FALSE,"LBOMER";#N/A,#N/A,FALSE,"WACC";#N/A,#N/A,FALSE,"DCF";#N/A,#N/A,FALSE,"DCFMER";#N/A,#N/A,FALSE,"Pooling";#N/A,#N/A,FALSE,"income";#N/A,#N/A,FALSE,"Offer"}</definedName>
    <definedName name="Sheet3" localSheetId="25" hidden="1">{#N/A,#N/A,FALSE,"Projections";#N/A,#N/A,FALSE,"Multiples Valuation";#N/A,#N/A,FALSE,"LBO";#N/A,#N/A,FALSE,"Multiples_Sensitivity";#N/A,#N/A,FALSE,"Summary"}</definedName>
    <definedName name="Sheet4" localSheetId="25" hidden="1">{#N/A,#N/A,FALSE,"Projections";#N/A,#N/A,FALSE,"Multiples Valuation";#N/A,#N/A,FALSE,"LBO";#N/A,#N/A,FALSE,"Multiples_Sensitivity";#N/A,#N/A,FALSE,"Summary"}</definedName>
    <definedName name="Sheet6" localSheetId="25" hidden="1">{#N/A,#N/A,FALSE,"Projections";#N/A,#N/A,FALSE,"Multiples Valuation";#N/A,#N/A,FALSE,"LBO";#N/A,#N/A,FALSE,"Multiples_Sensitivity";#N/A,#N/A,FALSE,"Summary"}</definedName>
    <definedName name="sjkdsjdk" localSheetId="25" hidden="1">{#N/A,#N/A,TRUE,"Statements";#N/A,#N/A,TRUE,"Capital";#N/A,#N/A,TRUE,"TOT Monthly Inc";#N/A,#N/A,TRUE,"TOT REVENUE";#N/A,#N/A,TRUE,"Manpower";#N/A,#N/A,TRUE,"Overheads";#N/A,#N/A,TRUE,"Salary";#N/A,#N/A,TRUE,"Admin";#N/A,#N/A,TRUE,"Barbados";#N/A,#N/A,TRUE,"Product Mktg";#N/A,#N/A,TRUE,"CONS - SI";#N/A,#N/A,TRUE,"PROJECTS";#N/A,#N/A,TRUE,"R&amp;D";#N/A,#N/A,TRUE,"Cons S&amp;M";#N/A,#N/A,TRUE,"Mktg"}</definedName>
    <definedName name="SLEVIN" localSheetId="25"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icer_Acorn_Map_1___Account_Group">#N/A</definedName>
    <definedName name="Slicer_Acorn_Map_1___Statement_Section">#N/A</definedName>
    <definedName name="Slicer_Acorn_Map_1___Statement_Section1">#N/A</definedName>
    <definedName name="Slicer_Class">#N/A</definedName>
    <definedName name="Slicer_Month">#N/A</definedName>
    <definedName name="SMPS" localSheetId="25" hidden="1">{#N/A,#N/A,FALSE,"AD_Purchase";#N/A,#N/A,FALSE,"Credit";#N/A,#N/A,FALSE,"PF Acquisition";#N/A,#N/A,FALSE,"PF Offering"}</definedName>
    <definedName name="ss" localSheetId="3" hidden="1">{"razones",#N/A,TRUE,"Razones";"balance",#N/A,TRUE,"Balance";"resultados",#N/A,TRUE,"Resultados";"flujo",#N/A,TRUE,"Flujo";"ingresos",#N/A,TRUE,"Ingresos";"costo",#N/A,TRUE,"Costo";"gastos",#N/A,TRUE,"Gastos";"datos",#N/A,TRUE,"Datos";"financieros",#N/A,TRUE,"Financieros"}</definedName>
    <definedName name="ss"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ss" localSheetId="2" hidden="1">{"razones",#N/A,TRUE,"Razones";"balance",#N/A,TRUE,"Balance";"resultados",#N/A,TRUE,"Resultados";"flujo",#N/A,TRUE,"Flujo";"ingresos",#N/A,TRUE,"Ingresos";"costo",#N/A,TRUE,"Costo";"gastos",#N/A,TRUE,"Gastos";"datos",#N/A,TRUE,"Datos";"financieros",#N/A,TRUE,"Financieros"}</definedName>
    <definedName name="ss" localSheetId="5" hidden="1">{"razones",#N/A,TRUE,"Razones";"balance",#N/A,TRUE,"Balance";"resultados",#N/A,TRUE,"Resultados";"flujo",#N/A,TRUE,"Flujo";"ingresos",#N/A,TRUE,"Ingresos";"costo",#N/A,TRUE,"Costo";"gastos",#N/A,TRUE,"Gastos";"datos",#N/A,TRUE,"Datos";"financieros",#N/A,TRUE,"Financieros"}</definedName>
    <definedName name="ss" localSheetId="6" hidden="1">{"razones",#N/A,TRUE,"Razones";"balance",#N/A,TRUE,"Balance";"resultados",#N/A,TRUE,"Resultados";"flujo",#N/A,TRUE,"Flujo";"ingresos",#N/A,TRUE,"Ingresos";"costo",#N/A,TRUE,"Costo";"gastos",#N/A,TRUE,"Gastos";"datos",#N/A,TRUE,"Datos";"financieros",#N/A,TRUE,"Financieros"}</definedName>
    <definedName name="ss" localSheetId="4" hidden="1">{"razones",#N/A,TRUE,"Razones";"balance",#N/A,TRUE,"Balance";"resultados",#N/A,TRUE,"Resultados";"flujo",#N/A,TRUE,"Flujo";"ingresos",#N/A,TRUE,"Ingresos";"costo",#N/A,TRUE,"Costo";"gastos",#N/A,TRUE,"Gastos";"datos",#N/A,TRUE,"Datos";"financieros",#N/A,TRUE,"Financieros"}</definedName>
    <definedName name="SSD" localSheetId="25" hidden="1">{#N/A,#N/A,FALSE,"REPORT"}</definedName>
    <definedName name="sss" localSheetId="25" hidden="1">{#N/A,#N/A,FALSE,"Pharm";#N/A,#N/A,FALSE,"WWCM"}</definedName>
    <definedName name="st" localSheetId="25" hidden="1">{"Headcount Worksheet",#N/A,FALSE,"HEADCOUNT"}</definedName>
    <definedName name="Staril" localSheetId="25" hidden="1">{#N/A,#N/A,FALSE,"REPORT"}</definedName>
    <definedName name="Start_Date" localSheetId="5">'P&amp;L by Class'!$D$13</definedName>
    <definedName name="steve" localSheetId="25" hidden="1">{#N/A,#N/A,FALSE,"Bakersfield PCs";#N/A,#N/A,FALSE,"Bremer PCs";#N/A,#N/A,FALSE,"Bakersfield Notebooks"}</definedName>
    <definedName name="steve2" localSheetId="25" hidden="1">{#N/A,#N/A,FALSE,"Bakersfield PCs";#N/A,#N/A,FALSE,"Bremer PCs";#N/A,#N/A,FALSE,"Bakersfield Notebooks"}</definedName>
    <definedName name="stop" localSheetId="25" hidden="1">{"Headcount Worksheet",#N/A,FALSE,"HEADCOUNT"}</definedName>
    <definedName name="StratPlanAP" localSheetId="25" hidden="1">{#N/A,#N/A,FALSE,"Pharm";#N/A,#N/A,FALSE,"WWCM"}</definedName>
    <definedName name="stuff" localSheetId="25" hidden="1">{"TOTAL",#N/A,FALSE,"A";"FISCAL94",#N/A,FALSE,"A";"FISCAL95",#N/A,FALSE,"A";"FISCAL96",#N/A,FALSE,"A";"misc page",#N/A,FALSE,"A"}</definedName>
    <definedName name="subpart" localSheetId="25" hidden="1">{#N/A,#N/A,FALSE,"Summary";#N/A,#N/A,FALSE,"Fed.State Prov";#N/A,#N/A,FALSE,"Foreign Prov";#N/A,#N/A,FALSE,"Thera Fgrn";#N/A,#N/A,FALSE,"CCD Fgrn";#N/A,#N/A,FALSE,"Biocine Fgrn";#N/A,#N/A,FALSE,"Vision Fgrn";#N/A,#N/A,FALSE,"Frgn vs Dom"}</definedName>
    <definedName name="SUMaaa" localSheetId="25" hidden="1">{#N/A,#N/A,FALSE,"assump";#N/A,#N/A,FALSE,"open";#N/A,#N/A,FALSE,"bs";#N/A,#N/A,FALSE,"is";#N/A,#N/A,FALSE,"cf"}</definedName>
    <definedName name="SumLOB4" localSheetId="25" hidden="1">{#N/A,#N/A,FALSE,"assump";#N/A,#N/A,FALSE,"open";#N/A,#N/A,FALSE,"bs";#N/A,#N/A,FALSE,"is";#N/A,#N/A,FALSE,"cf"}</definedName>
    <definedName name="SumLOB4YYY" localSheetId="25" hidden="1">{#N/A,#N/A,FALSE,"assump";#N/A,#N/A,FALSE,"open";#N/A,#N/A,FALSE,"bs";#N/A,#N/A,FALSE,"is";#N/A,#N/A,FALSE,"cf"}</definedName>
    <definedName name="SUMLOB5" localSheetId="25" hidden="1">{#N/A,#N/A,FALSE,"assump";#N/A,#N/A,FALSE,"open";#N/A,#N/A,FALSE,"bs";#N/A,#N/A,FALSE,"is";#N/A,#N/A,FALSE,"cf"}</definedName>
    <definedName name="SUMLOB5Report" localSheetId="25" hidden="1">{#N/A,#N/A,FALSE,"assump";#N/A,#N/A,FALSE,"open";#N/A,#N/A,FALSE,"bs";#N/A,#N/A,FALSE,"is";#N/A,#N/A,FALSE,"cf"}</definedName>
    <definedName name="SUMLOB5XXX" localSheetId="25" hidden="1">{#N/A,#N/A,FALSE,"assump";#N/A,#N/A,FALSE,"open";#N/A,#N/A,FALSE,"bs";#N/A,#N/A,FALSE,"is";#N/A,#N/A,FALSE,"cf"}</definedName>
    <definedName name="SUMLOB5YYY" localSheetId="25" hidden="1">{#N/A,#N/A,FALSE,"assump";#N/A,#N/A,FALSE,"open";#N/A,#N/A,FALSE,"bs";#N/A,#N/A,FALSE,"is";#N/A,#N/A,FALSE,"cf"}</definedName>
    <definedName name="SUMLOB5zzz" localSheetId="25" hidden="1">{#N/A,#N/A,FALSE,"assump";#N/A,#N/A,FALSE,"open";#N/A,#N/A,FALSE,"bs";#N/A,#N/A,FALSE,"is";#N/A,#N/A,FALSE,"cf"}</definedName>
    <definedName name="SUMLOBZZZ" localSheetId="25" hidden="1">{#N/A,#N/A,FALSE,"assump";#N/A,#N/A,FALSE,"open";#N/A,#N/A,FALSE,"bs";#N/A,#N/A,FALSE,"is";#N/A,#N/A,FALSE,"cf"}</definedName>
    <definedName name="SUMMARY_BOOK" localSheetId="25" hidden="1">{"page1",#N/A,FALSE,"GIRLBO";"page2",#N/A,FALSE,"GIRLBO";"page3",#N/A,FALSE,"GIRLBO";"page4",#N/A,FALSE,"GIRLBO";"page5",#N/A,FALSE,"GIRLBO"}</definedName>
    <definedName name="Summary2" localSheetId="25" hidden="1">{#N/A,#N/A,FALSE,"FACTSHEETS";#N/A,#N/A,FALSE,"pump";#N/A,#N/A,FALSE,"filter"}</definedName>
    <definedName name="SUMreport" localSheetId="25" hidden="1">{#N/A,#N/A,FALSE,"assump";#N/A,#N/A,FALSE,"open";#N/A,#N/A,FALSE,"bs";#N/A,#N/A,FALSE,"is";#N/A,#N/A,FALSE,"cf"}</definedName>
    <definedName name="SumXXX" localSheetId="25" hidden="1">{#N/A,#N/A,FALSE,"assump";#N/A,#N/A,FALSE,"open";#N/A,#N/A,FALSE,"bs";#N/A,#N/A,FALSE,"is";#N/A,#N/A,FALSE,"cf"}</definedName>
    <definedName name="SUMYYY" localSheetId="25" hidden="1">{#N/A,#N/A,FALSE,"assump";#N/A,#N/A,FALSE,"open";#N/A,#N/A,FALSE,"bs";#N/A,#N/A,FALSE,"is";#N/A,#N/A,FALSE,"cf"}</definedName>
    <definedName name="SUMzzz" localSheetId="25" hidden="1">{#N/A,#N/A,FALSE,"assump";#N/A,#N/A,FALSE,"open";#N/A,#N/A,FALSE,"bs";#N/A,#N/A,FALSE,"is";#N/A,#N/A,FALSE,"cf"}</definedName>
    <definedName name="Super" localSheetId="25" hidden="1">{#N/A,#N/A,FALSE,"IPO";#N/A,#N/A,FALSE,"DCF";#N/A,#N/A,FALSE,"LBO";#N/A,#N/A,FALSE,"MULT_VAL";#N/A,#N/A,FALSE,"Status Quo";#N/A,#N/A,FALSE,"Recap"}</definedName>
    <definedName name="Suppliers" localSheetId="25" hidden="1">{#N/A,#N/A,FALSE,"HMF";#N/A,#N/A,FALSE,"FACIL";#N/A,#N/A,FALSE,"HMFINANCE";#N/A,#N/A,FALSE,"HMEUROPE";#N/A,#N/A,FALSE,"HHAB CONSO";#N/A,#N/A,FALSE,"PAB";#N/A,#N/A,FALSE,"MMC";#N/A,#N/A,FALSE,"THAI";#N/A,#N/A,FALSE,"SINPA";#N/A,#N/A,FALSE,"POLAND"}</definedName>
    <definedName name="SX" localSheetId="25"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taxol" localSheetId="25" hidden="1">{#N/A,#N/A,FALSE,"Pharm";#N/A,#N/A,FALSE,"WWCM"}</definedName>
    <definedName name="TECH"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tejhre" localSheetId="25" hidden="1">{#N/A,#N/A,FALSE,"Bakersfield PCs";#N/A,#N/A,FALSE,"Bremer PCs";#N/A,#N/A,FALSE,"Bakersfield Notebooks"}</definedName>
    <definedName name="Tem" localSheetId="25" hidden="1">{#N/A,#N/A,FALSE,"Pharm";#N/A,#N/A,FALSE,"WWCM"}</definedName>
    <definedName name="temp1" localSheetId="25" hidden="1">{"PAGE 1",#N/A,FALSE,"WEST_OT"}</definedName>
    <definedName name="temp2" localSheetId="25" hidden="1">{#N/A,#N/A,FALSE,"Return";"Summary Inc Stmt",#N/A,FALSE,"IncStmt";#N/A,#N/A,FALSE,"Prod";"Summary Input",#N/A,FALSE,"Input"}</definedName>
    <definedName name="temp3" localSheetId="25" hidden="1">{#N/A,#N/A,FALSE,"Bakersfield PCs";#N/A,#N/A,FALSE,"Bremer PCs";#N/A,#N/A,FALSE,"Bakersfield Notebooks"}</definedName>
    <definedName name="teq" localSheetId="25" hidden="1">{#N/A,#N/A,FALSE,"Pharm";#N/A,#N/A,FALSE,"WWCM"}</definedName>
    <definedName name="Tequin" localSheetId="25" hidden="1">{#N/A,#N/A,FALSE,"Pharm";#N/A,#N/A,FALSE,"WWCM"}</definedName>
    <definedName name="tequinol" localSheetId="25" hidden="1">{#N/A,#N/A,FALSE,"REPORT"}</definedName>
    <definedName name="tesg4" localSheetId="25" hidden="1">{"PAGE 1",#N/A,FALSE,"WEST_OT"}</definedName>
    <definedName name="test" localSheetId="25" hidden="1">{#N/A,#N/A,FALSE,"Pharm";#N/A,#N/A,FALSE,"WWCM"}</definedName>
    <definedName name="TEST1" localSheetId="25" hidden="1">{#N/A,#N/A,TRUE,"Condensed IS";#N/A,#N/A,TRUE,"Condensed BS";#N/A,#N/A,TRUE,"Outlook";#N/A,#N/A,TRUE,"Condensed CF";#N/A,#N/A,TRUE,"Condensed CF - qtr"}</definedName>
    <definedName name="test10" localSheetId="25" hidden="1">{"PAGE 1",#N/A,FALSE,"WEST_OT"}</definedName>
    <definedName name="test11" localSheetId="25" hidden="1">{"PAGE 1",#N/A,FALSE,"WEST_OT"}</definedName>
    <definedName name="test12" localSheetId="25" hidden="1">{"PAGE 2",#N/A,FALSE,"WEST_OT"}</definedName>
    <definedName name="test13" localSheetId="25" hidden="1">{"PAGE 2",#N/A,FALSE,"WEST_OT"}</definedName>
    <definedName name="test14" localSheetId="25" hidden="1">{"PAGE 1",#N/A,FALSE,"WEST_OT"}</definedName>
    <definedName name="test15" localSheetId="25" hidden="1">{"PAGE 1",#N/A,FALSE,"WEST_OT"}</definedName>
    <definedName name="TEST2" localSheetId="25" hidden="1">{#N/A,#N/A,TRUE,"Condensed IS";#N/A,#N/A,TRUE,"Condensed BS";#N/A,#N/A,TRUE,"Outlook";#N/A,#N/A,TRUE,"Condensed CF";#N/A,#N/A,TRUE,"Condensed CF - qtr"}</definedName>
    <definedName name="test20" localSheetId="25" hidden="1">{"PAGE 1",#N/A,FALSE,"WEST_OT"}</definedName>
    <definedName name="test21" localSheetId="25" hidden="1">{"PAGE 1",#N/A,FALSE,"WEST_OT"}</definedName>
    <definedName name="test23" localSheetId="25" hidden="1">{"PAGE 1",#N/A,FALSE,"WEST_OT"}</definedName>
    <definedName name="test24" localSheetId="25" hidden="1">{"PAGE 1",#N/A,FALSE,"WEST_OT"}</definedName>
    <definedName name="test25" localSheetId="25" hidden="1">{"PAGE 1",#N/A,FALSE,"WEST_OT"}</definedName>
    <definedName name="test26" localSheetId="25" hidden="1">{"PAGE 1",#N/A,FALSE,"WEST_OT"}</definedName>
    <definedName name="test27" localSheetId="25" hidden="1">{"PAGE 1",#N/A,FALSE,"WEST_OT"}</definedName>
    <definedName name="test28" localSheetId="25" hidden="1">{"PAGE 1",#N/A,FALSE,"WEST_OT"}</definedName>
    <definedName name="test29" localSheetId="25" hidden="1">{"PAGE 1",#N/A,FALSE,"WEST_OT"}</definedName>
    <definedName name="test3" localSheetId="25" hidden="1">{#N/A,#N/A,TRUE,"Condensed IS";#N/A,#N/A,TRUE,"Condensed BS";#N/A,#N/A,TRUE,"Outlook";#N/A,#N/A,TRUE,"Condensed CF";#N/A,#N/A,TRUE,"Condensed CF - qtr"}</definedName>
    <definedName name="test30" localSheetId="25" hidden="1">{"PAGE 2",#N/A,FALSE,"WEST_OT"}</definedName>
    <definedName name="test31" localSheetId="25" hidden="1">{"PAGE 1",#N/A,FALSE,"WEST_OT"}</definedName>
    <definedName name="test32" localSheetId="25" hidden="1">{"PAGE 1",#N/A,FALSE,"WEST_OT"}</definedName>
    <definedName name="test33" localSheetId="25" hidden="1">{"PAGE 1",#N/A,FALSE,"WEST_OT"}</definedName>
    <definedName name="test34" localSheetId="25" hidden="1">{"PAGE 1",#N/A,FALSE,"WEST_OT"}</definedName>
    <definedName name="test35" localSheetId="25" hidden="1">{"PAGE 1",#N/A,FALSE,"WEST_OT"}</definedName>
    <definedName name="test36" localSheetId="25" hidden="1">{"PAGE 1",#N/A,FALSE,"WEST_OT"}</definedName>
    <definedName name="test37" localSheetId="25" hidden="1">{"PAGE 2",#N/A,FALSE,"WEST_OT"}</definedName>
    <definedName name="test38" localSheetId="25" hidden="1">{"PAGE 1",#N/A,FALSE,"WEST_OT"}</definedName>
    <definedName name="test39" localSheetId="25" hidden="1">{"PAGE 1",#N/A,FALSE,"WEST_OT"}</definedName>
    <definedName name="test4" localSheetId="25" hidden="1">{"PAGE 1",#N/A,FALSE,"WEST_OT"}</definedName>
    <definedName name="test40" localSheetId="25" hidden="1">{"PAGE 2",#N/A,FALSE,"WEST_OT"}</definedName>
    <definedName name="test41" localSheetId="25" hidden="1">{"PAGE 1",#N/A,FALSE,"WEST_OT"}</definedName>
    <definedName name="test42" localSheetId="25" hidden="1">{"PAGE 1",#N/A,FALSE,"WEST_OT"}</definedName>
    <definedName name="test43" localSheetId="25" hidden="1">{"PAGE 2",#N/A,FALSE,"WEST_OT"}</definedName>
    <definedName name="test44" localSheetId="25" hidden="1">{"PAGE 2",#N/A,FALSE,"WEST_OT"}</definedName>
    <definedName name="test45" localSheetId="25" hidden="1">{"PAGE 1",#N/A,FALSE,"WEST_OT"}</definedName>
    <definedName name="test46" localSheetId="25" hidden="1">{"PAGE 1",#N/A,FALSE,"WEST_OT"}</definedName>
    <definedName name="test5" localSheetId="25" hidden="1">{#N/A,#N/A,TRUE,"Condensed IS";#N/A,#N/A,TRUE,"Condensed BS";#N/A,#N/A,TRUE,"Outlook";#N/A,#N/A,TRUE,"Condensed CF";#N/A,#N/A,TRUE,"Condensed CF - qtr"}</definedName>
    <definedName name="test6" localSheetId="25" hidden="1">{"PAGE 2",#N/A,FALSE,"WEST_OT"}</definedName>
    <definedName name="test7" localSheetId="25" hidden="1">{"PAGE 2",#N/A,FALSE,"WEST_OT"}</definedName>
    <definedName name="test8" localSheetId="25" hidden="1">{"PAGE 1",#N/A,FALSE,"WEST_OT"}</definedName>
    <definedName name="test9" localSheetId="25" hidden="1">{"PAGE 1",#N/A,FALSE,"WEST_OT"}</definedName>
    <definedName name="teste" localSheetId="25" hidden="1">{#N/A,#N/A,FALSE,"Pharm";#N/A,#N/A,FALSE,"WWCM"}</definedName>
    <definedName name="TESTE1" localSheetId="25" hidden="1">{#N/A,#N/A,FALSE,"DEMPROV IR";#N/A,#N/A,FALSE,"INC.FISC";#N/A,#N/A,FALSE,"LUCRO REAL";#N/A,#N/A,FALSE,"L.LIQ.M";#N/A,#N/A,FALSE,"PROV96";#N/A,#N/A,FALSE,"L.LIQU.";#N/A,#N/A,FALSE,"ADIEXCL";#N/A,#N/A,FALSE,"PAT-VT96";#N/A,#N/A,FALSE,"DPO.INC."}</definedName>
    <definedName name="TESTE2" localSheetId="25" hidden="1">{#N/A,#N/A,FALSE,"DEMPROV IR";#N/A,#N/A,FALSE,"INC.FISC";#N/A,#N/A,FALSE,"LUCRO REAL";#N/A,#N/A,FALSE,"L.LIQ.M";#N/A,#N/A,FALSE,"PROV96";#N/A,#N/A,FALSE,"L.LIQU.";#N/A,#N/A,FALSE,"ADIEXCL";#N/A,#N/A,FALSE,"PAT-VT96";#N/A,#N/A,FALSE,"DPO.INC."}</definedName>
    <definedName name="Testing" localSheetId="25" hidden="1">{#N/A,#N/A,TRUE,"index";#N/A,#N/A,TRUE,"Summary";#N/A,#N/A,TRUE,"Continuing Business";#N/A,#N/A,TRUE,"Disposals";#N/A,#N/A,TRUE,"Acquisitions";#N/A,#N/A,TRUE,"Actual &amp; Plan Reconciliation"}</definedName>
    <definedName name="testwksht" localSheetId="25" hidden="1">{"Region Summary",#N/A,FALSE,"From Jan 98 Actual [Rev]"}</definedName>
    <definedName name="tete" localSheetId="25" hidden="1">{#N/A,#N/A,FALSE,"Calc";#N/A,#N/A,FALSE,"Sensitivity";#N/A,#N/A,FALSE,"LT Earn.Dil.";#N/A,#N/A,FALSE,"Dil. AVP"}</definedName>
    <definedName name="thth" localSheetId="25" hidden="1">{#N/A,#N/A,FALSE,"Calc";#N/A,#N/A,FALSE,"Sensitivity";#N/A,#N/A,FALSE,"LT Earn.Dil.";#N/A,#N/A,FALSE,"Dil. AVP"}</definedName>
    <definedName name="trout" localSheetId="25"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tryeuyit" localSheetId="25" hidden="1">{#N/A,#N/A,FALSE,"Pharm";#N/A,#N/A,FALSE,"WWCM"}</definedName>
    <definedName name="tt" localSheetId="25" hidden="1">{#N/A,#N/A,FALSE,"SUMMARY";#N/A,#N/A,FALSE,"TECHNOLOGY";#N/A,#N/A,FALSE,"YEAR2000";#N/A,#N/A,FALSE,"GENERAL SERVICES";#N/A,#N/A,FALSE,"PROD MANAGE";#N/A,#N/A,FALSE,"BOG";#N/A,#N/A,FALSE,"PROT CONT";#N/A,#N/A,FALSE,"INVEST COMP"}</definedName>
    <definedName name="TWO" localSheetId="25" hidden="1">{#N/A,#N/A,FALSE,"SUMMARY";#N/A,#N/A,FALSE,"TECHNOLOGY";#N/A,#N/A,FALSE,"YEAR2000";#N/A,#N/A,FALSE,"GENERAL SERVICES";#N/A,#N/A,FALSE,"PROD MANAGE";#N/A,#N/A,FALSE,"BOG";#N/A,#N/A,FALSE,"PROT CONT";#N/A,#N/A,FALSE,"INVEST COMP"}</definedName>
    <definedName name="tyhdfs" localSheetId="25" hidden="1">{"inputs raw data",#N/A,TRUE,"INPUT"}</definedName>
    <definedName name="tyuhj" localSheetId="25"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tyutytyi" localSheetId="25" hidden="1">{#N/A,#N/A,FALSE,"Pharm";#N/A,#N/A,FALSE,"WWCM"}</definedName>
    <definedName name="tyyufkjkhjd" localSheetId="25" hidden="1">{#N/A,#N/A,FALSE,"Pharm";#N/A,#N/A,FALSE,"WWCM"}</definedName>
    <definedName name="uiknu" localSheetId="25"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uj" localSheetId="25" hidden="1">{"Headcount Worksheet",#N/A,FALSE,"HEADCOUNT"}</definedName>
    <definedName name="Unit" localSheetId="25" hidden="1">{#N/A,#N/A,FALSE,"Pharm";#N/A,#N/A,FALSE,"WWCM"}</definedName>
    <definedName name="UPDATESUMMARY" localSheetId="25" hidden="1">{#N/A,#N/A,FALSE,"FACTSHEETS";#N/A,#N/A,FALSE,"pump";#N/A,#N/A,FALSE,"filter"}</definedName>
    <definedName name="USA" localSheetId="25" hidden="1">{#N/A,#N/A,FALSE,"Est97";#N/A,#N/A,FALSE,"Plan98";#N/A,#N/A,FALSE,"Graphs";#N/A,#N/A,FALSE,"5Yr"}</definedName>
    <definedName name="uu" localSheetId="25" hidden="1">{#N/A,#N/A,FALSE,"SUMMARY";#N/A,#N/A,FALSE,"TECHNOLOGY";#N/A,#N/A,FALSE,"YEAR2000";#N/A,#N/A,FALSE,"GENERAL SERVICES";#N/A,#N/A,FALSE,"PROD MANAGE";#N/A,#N/A,FALSE,"BOG";#N/A,#N/A,FALSE,"PROT CONT";#N/A,#N/A,FALSE,"INVEST COMP"}</definedName>
    <definedName name="v" localSheetId="25" hidden="1">{#N/A,#N/A,FALSE,"Projections";#N/A,#N/A,FALSE,"Multiples Valuation";#N/A,#N/A,FALSE,"LBO";#N/A,#N/A,FALSE,"Multiples_Sensitivity";#N/A,#N/A,FALSE,"Summary"}</definedName>
    <definedName name="Variance" localSheetId="25" hidden="1">{"ACI IS",#N/A,FALSE,"ACI - IS";"ACI BS",#N/A,FALSE,"ACI - BS";"ACI Detail IS",#N/A,FALSE,"ACI - Detail IS";"ACI Detail IS Supplemental Info",#N/A,FALSE,"ACI - Detail IS";"ACI Monthly 1999",#N/A,FALSE,"ACI Monthly";"ACI Monthly 1998",#N/A,FALSE,"ACI Monthly";"ACI Monthly 1997",#N/A,FALSE,"ACI Monthly"}</definedName>
    <definedName name="vcd" localSheetId="25" hidden="1">{"Headcount Worksheet",#N/A,FALSE,"HEADCOUNT"}</definedName>
    <definedName name="vo" localSheetId="25" hidden="1">{"consolidated",#N/A,FALSE,"Sheet1";"cms",#N/A,FALSE,"Sheet1";"fse",#N/A,FALSE,"Sheet1"}</definedName>
    <definedName name="vr" localSheetId="25" hidden="1">{"Results Worksheets",#N/A,FALSE,"RESULTS"}</definedName>
    <definedName name="vwew32" localSheetId="25" hidden="1">{"Assumptions",#N/A,TRUE,"Assumptions";"Income",#N/A,TRUE,"Income";"Balance",#N/A,TRUE,"Balance"}</definedName>
    <definedName name="vzssw" localSheetId="25" hidden="1">{#N/A,#N/A,FALSE,"Projections";#N/A,#N/A,FALSE,"Acq Mult";#N/A,#N/A,FALSE,"TWER Mult";#N/A,#N/A,FALSE,"DCF EBITDA";#N/A,#N/A,FALSE,"DCF EBIT";#N/A,#N/A,FALSE,"Debt Accr";#N/A,#N/A,FALSE,"Stock Accr";#N/A,#N/A,FALSE,"Debt Stock Accr";#N/A,#N/A,FALSE,"Accr Dil Sensi"}</definedName>
    <definedName name="WalkYTDBudNEW" localSheetId="25" hidden="1">{"FIXVARIANCE",#N/A,FALSE,"COSTPHSE";"SOURCING",#N/A,FALSE,"COSTPHSE"}</definedName>
    <definedName name="wan" localSheetId="25" hidden="1">{"COMBINED",#N/A,FALSE,"BALANCE SHEET 2";"KRONE",#N/A,FALSE,"BALANCE SHEET 2";"INTERSYSTEMS",#N/A,FALSE,"BALANCE SHEET 2"}</definedName>
    <definedName name="wan_1" localSheetId="25" hidden="1">{"COMBINED",#N/A,FALSE,"BALANCE SHEET 2";"KRONE",#N/A,FALSE,"BALANCE SHEET 2";"INTERSYSTEMS",#N/A,FALSE,"BALANCE SHEET 2"}</definedName>
    <definedName name="was" localSheetId="25" hidden="1">{#N/A,#N/A,FALSE,"Sales Graph";#N/A,#N/A,FALSE,"BUC Graph";#N/A,#N/A,FALSE,"P&amp;L - YTD"}</definedName>
    <definedName name="wavylws" localSheetId="25"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b" localSheetId="25" hidden="1">{#N/A,#N/A,FALSE,"Pharm";#N/A,#N/A,FALSE,"WWCM"}</definedName>
    <definedName name="wc" localSheetId="25" hidden="1">{#N/A,#N/A,FALSE,"Pharm";#N/A,#N/A,FALSE,"WWCM"}</definedName>
    <definedName name="we" localSheetId="25" hidden="1">{#N/A,#N/A,FALSE,"Pharm";#N/A,#N/A,FALSE,"WWCM"}</definedName>
    <definedName name="weaadsf" localSheetId="25"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eb" localSheetId="25" hidden="1">{#N/A,#N/A,FALSE,"Taxblinc";#N/A,#N/A,FALSE,"Rsvsacls"}</definedName>
    <definedName name="wedasf" localSheetId="25" hidden="1">{"inputs raw data",#N/A,TRUE,"INPUT"}</definedName>
    <definedName name="WEER" localSheetId="25" hidden="1">{#N/A,#N/A,FALSE,"Aging Summary";#N/A,#N/A,FALSE,"Ratio Analysis";#N/A,#N/A,FALSE,"Test 120 Day Accts";#N/A,#N/A,FALSE,"Tickmarks"}</definedName>
    <definedName name="wefdg" localSheetId="2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erdfy" localSheetId="25"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erfds" localSheetId="2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errr" localSheetId="25" hidden="1">{#N/A,#N/A,FALSE,"Adj Proj";#N/A,#N/A,FALSE,"Sheet1";#N/A,#N/A,FALSE,"LBO";#N/A,#N/A,FALSE,"LBOMER";#N/A,#N/A,FALSE,"WACC";#N/A,#N/A,FALSE,"DCF";#N/A,#N/A,FALSE,"DCFMER";#N/A,#N/A,FALSE,"Pooling";#N/A,#N/A,FALSE,"income";#N/A,#N/A,FALSE,"Offer"}</definedName>
    <definedName name="wersdf" localSheetId="25" hidden="1">{"summary1",#N/A,TRUE,"Comps";"summary2",#N/A,TRUE,"Comps";"summary3",#N/A,TRUE,"Comps"}</definedName>
    <definedName name="Westburne" localSheetId="25" hidden="1">{#N/A,#N/A,FALSE,"Projections";#N/A,#N/A,FALSE,"Multiples Valuation";#N/A,#N/A,FALSE,"LBO";#N/A,#N/A,FALSE,"Multiples_Sensitivity";#N/A,#N/A,FALSE,"Summary"}</definedName>
    <definedName name="weydsfg" localSheetId="2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hat" localSheetId="25" hidden="1">{"income statement",#N/A,TRUE,"is";"balance sheet",#N/A,TRUE,"bs";"cashflow",#N/A,TRUE,"cf";"rev summary",#N/A,TRUE,"rev summary";"VAD worldwide",#N/A,TRUE,"VAD (worldwide)";"VAD geog brkdwn",#N/A,TRUE,"VAD (geog breakdown)";"VAD sys wrld wide",#N/A,TRUE,"VADSystem (worldwide)";"VAD sys geog brkdwn",#N/A,TRUE,"VADSystem (geog breakdown)";"VAD sys geog brkdwn 2",#N/A,TRUE,"VADSystem (geog breakdown)";"VAG",#N/A,TRUE,"VAG";"CABG",#N/A,TRUE,"CABG";"milestones",#N/A,TRUE,"milestones";"VAD mkt sum",#N/A,TRUE,"VAD Market Sum";"VAD Mkt WW",#N/A,TRUE,"VAD Mkt (worldwide)";"VAD Mkt geog",#N/A,TRUE,"VAD Mkt (Geog)"}</definedName>
    <definedName name="whatever" localSheetId="25" hidden="1">{#N/A,#N/A,FALSE,"Australia";#N/A,#N/A,FALSE,"Austria";#N/A,#N/A,FALSE,"Belgium";#N/A,#N/A,FALSE,"Canada";#N/A,#N/A,FALSE,"France";#N/A,#N/A,FALSE,"Germany";#N/A,#N/A,FALSE,"Hong Kong";#N/A,#N/A,FALSE,"Italy";#N/A,#N/A,FALSE,"Japan";#N/A,#N/A,FALSE,"Korea";#N/A,#N/A,FALSE,"Mexico";#N/A,#N/A,FALSE,"Poland";#N/A,#N/A,FALSE,"Spain";#N/A,#N/A,FALSE,"Switzerland";#N/A,#N/A,FALSE,"UK"}</definedName>
    <definedName name="whatisthis" localSheetId="25" hidden="1">{#N/A,#N/A,FALSE,"Summary";#N/A,#N/A,FALSE,"Projections";#N/A,#N/A,FALSE,"Mkt Mults";#N/A,#N/A,FALSE,"DCF";#N/A,#N/A,FALSE,"Accr Dil";#N/A,#N/A,FALSE,"PIC LBO";#N/A,#N/A,FALSE,"MULT10_4";#N/A,#N/A,FALSE,"CBI LBO"}</definedName>
    <definedName name="whatisthissss" localSheetId="25" hidden="1">{#N/A,#N/A,FALSE,"IPO";#N/A,#N/A,FALSE,"DCF";#N/A,#N/A,FALSE,"LBO";#N/A,#N/A,FALSE,"MULT_VAL";#N/A,#N/A,FALSE,"Status Quo";#N/A,#N/A,FALSE,"Recap"}</definedName>
    <definedName name="whatisthisssss" localSheetId="25" hidden="1">{#N/A,#N/A,FALSE,"Summary";#N/A,#N/A,FALSE,"Projections";#N/A,#N/A,FALSE,"Mkt Mults";#N/A,#N/A,FALSE,"DCF";#N/A,#N/A,FALSE,"Accr Dil";#N/A,#N/A,FALSE,"PIC LBO";#N/A,#N/A,FALSE,"MULT10_4";#N/A,#N/A,FALSE,"CBI LBO"}</definedName>
    <definedName name="willie" localSheetId="25" hidden="1">{#N/A,#N/A,FALSE,"Bakersfield PCs";#N/A,#N/A,FALSE,"Bremer PCs";#N/A,#N/A,FALSE,"Bakersfield Notebooks"}</definedName>
    <definedName name="wishlws" localSheetId="25"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ksht2_ATA" localSheetId="25" hidden="1">{#N/A,#N/A,FALSE,"Aging Summary";#N/A,#N/A,FALSE,"Ratio Analysis";#N/A,#N/A,FALSE,"Test 120 Day Accts";#N/A,#N/A,FALSE,"Tickmarks"}</definedName>
    <definedName name="working" localSheetId="25" hidden="1">{#N/A,#N/A,FALSE,"REPORT"}</definedName>
    <definedName name="wqwt" localSheetId="25" hidden="1">{#N/A,#N/A,FALSE,"Projections";#N/A,#N/A,FALSE,"Contribution_Stock";#N/A,#N/A,FALSE,"PF_Combo_Stock";#N/A,#N/A,FALSE,"Projections";#N/A,#N/A,FALSE,"Contribution_Cash";#N/A,#N/A,FALSE,"PF_Combo_Cash";#N/A,#N/A,FALSE,"IPO_Cash"}</definedName>
    <definedName name="wrd" localSheetId="25" hidden="1">{#N/A,#N/A,FALSE,"INPUTS";#N/A,#N/A,FALSE,"PROFORMA BSHEET";#N/A,#N/A,FALSE,"COMBINED";#N/A,#N/A,FALSE,"HIGH YIELD";#N/A,#N/A,FALSE,"COMB_GRAPHS"}</definedName>
    <definedName name="WRN" localSheetId="25" hidden="1">{#N/A,#N/A,FALSE,"Pkg Assets";#N/A,#N/A,FALSE,"Elite Pkg Liab";#N/A,#N/A,FALSE,"Pkg Income";#N/A,#N/A,FALSE,"Pkg FOH";#N/A,#N/A,FALSE,"Pkg SGA"}</definedName>
    <definedName name="wrn.0198._.Consolidated._.Package." localSheetId="25" hidden="1">{"BS with Elims",#N/A,FALSE,"0198";"BS without Elims",#N/A,FALSE,"0198";"BS Consol with Elims",#N/A,FALSE,"0198-consol";"BS Consol without Elims",#N/A,FALSE,"0198-consol"}</definedName>
    <definedName name="wrn.0298._.Consolidated._.Package." localSheetId="25" hidden="1">{"BS Consol without Elims",#N/A,FALSE,"0298-Consol";"BS Consol with Elims",#N/A,FALSE,"0298-Consol";"BS without Elims",#N/A,FALSE,"0298";"BS with Elims",#N/A,FALSE,"0298"}</definedName>
    <definedName name="wrn.0398._.Consolidated._.Package." localSheetId="25" hidden="1">{"BS Consol without Elims",#N/A,FALSE,"0398 - Consol";"BS Consol with Elims",#N/A,FALSE,"0398 - Consol";"BS without Elims",#N/A,FALSE,"0398";"BS with Elims",#N/A,FALSE,"0398"}</definedName>
    <definedName name="wrn.0498._.Consolidated._.Package." localSheetId="25" hidden="1">{"BS with Elims",#N/A,FALSE,"0498";"BS without Elims",#N/A,FALSE,"0498";"BS Consol with Elims",#N/A,FALSE,"0498 - Consol ";"BS Consol without Elims",#N/A,FALSE,"0498 - Consol "}</definedName>
    <definedName name="wrn.0598._.Consolidated._.Package." localSheetId="25" hidden="1">{"BS Consol without Elims",#N/A,FALSE,"0598 - Consol ";"BS Consol with Elims",#N/A,FALSE,"0598 - Consol ";"BS without Elims",#N/A,FALSE,"0598";"BS with Elims",#N/A,FALSE,"0598"}</definedName>
    <definedName name="wrn.0698._.Consolidated._.Package." localSheetId="25" hidden="1">{"BS Consol without Elims",#N/A,FALSE,"0698 - Consol ";"BS Consol with Elims",#N/A,FALSE,"0698 - Consol ";"BS without Elims",#N/A,FALSE,"0698";"BS with Elims",#N/A,FALSE,"0698"}</definedName>
    <definedName name="wrn.1"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 localSheetId="25" hidden="1">{#N/A,#N/A,FALSE,"Calc";#N/A,#N/A,FALSE,"Sensitivity";#N/A,#N/A,FALSE,"LT Earn.Dil.";#N/A,#N/A,FALSE,"Dil. AVP"}</definedName>
    <definedName name="wrn.100._.Monthly._.Package." localSheetId="25"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11111" localSheetId="25" hidden="1">{#N/A,#N/A,FALSE,"Pharm";#N/A,#N/A,FALSE,"WWCM"}</definedName>
    <definedName name="wrn.1996._.BUDGET." localSheetId="25" hidden="1">{"SUMMARY",#N/A,TRUE,"SUMMARY";"compare",#N/A,TRUE,"Vs. Bus Plan";"ratios",#N/A,TRUE,"Ratios";"REVENUE",#N/A,TRUE,"Revenue";"expenses",#N/A,TRUE,"1996 budget";"payroll",#N/A,TRUE,"Payroll"}</definedName>
    <definedName name="wrn.1996._.TO._.2004." localSheetId="25" hidden="1">{"ten year ratios",#N/A,TRUE,"PROFIT_LOSS";"ten year ratios",#N/A,TRUE,"Ratios";"ten yr opex and capex",#N/A,TRUE,"1996 budget";"ten year revenues",#N/A,TRUE,"Revenue_1996-2004";"ten year payroll",#N/A,TRUE,"Payroll"}</definedName>
    <definedName name="wrn.1998._.capital._.plan."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wrn.2" localSheetId="25" hidden="1">{"Presentation View",#N/A,TRUE,"Cover";"Presentation View",#N/A,TRUE,"Hilight_YTD";"Presentation View",#N/A,TRUE,"BridgeP";"Presentation View",#N/A,TRUE,"Bridge00";"Presentation View",#N/A,TRUE,"cnsoled_IS";"Presentation View",#N/A,TRUE,"cnsol_incYTD v plan";"Presentation View",#N/A,TRUE,"cnsol_incYTD v PY";"Presentation View",#N/A,TRUE,"Fcst1 qtrly";"Presentation View",#N/A,TRUE,"Fcst1 Qtrly Earnings";"Presentation View",#N/A,TRUE,"AR";"Presentation View",#N/A,TRUE,"INV";"Presentation View",#N/A,TRUE,"Inc Trend";"Presentation View",#N/A,TRUE,"cnsol_inc v p";"Presentation View",#N/A,TRUE,"cnsol_inc v PY";"Presentation View",#N/A,TRUE,"F1 BS";"Presentation View2",#N/A,TRUE,"cash flow";"Presentation View",#N/A,TRUE,"TITLE PF";"Presentation View",#N/A,TRUE,"cnsol_incYTDpf v PYpf";"Presentation View",#N/A,TRUE,"cnsol_inc v PYpf";"Presentation View",#N/A,TRUE,"CapExPF";"Presentation View",#N/A,TRUE,"Major Projects";"Presentation View",#N/A,TRUE,"MAR"}</definedName>
    <definedName name="wrn.3" localSheetId="25" hidden="1">{"Working View with Notes2",#N/A,TRUE,"Hilight_YTD";"Working View with Notes2",#N/A,TRUE,"BridgeP";"Working View with Notes2",#N/A,TRUE,"Bridge00";"Working View with Notes2",#N/A,TRUE,"cnsoled_IS";"Working View with Notes2",#N/A,TRUE,"cnsol_incYTD v plan";"Working View with Notes2",#N/A,TRUE,"cnsol_incYTD v PY";"Working View with Notes2",#N/A,TRUE,"Fcst1 qtrly";"Working View with Notes2",#N/A,TRUE,"Fcst1 Qtrly Earnings";"Working View with Notes2",#N/A,TRUE,"AR";"Working View with Notes2",#N/A,TRUE,"INV";"Working View with Notes2",#N/A,TRUE,"Inc Trend";"Working View with Notes2",#N/A,TRUE,"cnsol_inc v p";"Working View with Notes2",#N/A,TRUE,"cnsol_inc v PY";"Working View with Notes2",#N/A,TRUE,"F1 BS";"Working View with Notes2",#N/A,TRUE,"cash flow";"Working View with Notes2",#N/A,TRUE,"TITLE PF";"Working View with Notes2",#N/A,TRUE,"cnsol_incYTDpf v PYpf";"Working View with Notes2",#N/A,TRUE,"cnsol_inc v PYpf";"Working View with Notes2",#N/A,TRUE,"CapExPF";"Working View with Notes2",#N/A,TRUE,"Major Projects";"Working View with Notes2",#N/A,TRUE,"MAR"}</definedName>
    <definedName name="wrn.3yr.CF." localSheetId="25" hidden="1">{"assume",#N/A,FALSE,"K&amp;20th Month CF";"MoCF",#N/A,FALSE,"K&amp;20th Month CF";"AnCF",#N/A,FALSE,"K&amp;20th Month CF"}</definedName>
    <definedName name="wrn.730." localSheetId="25" hidden="1">{#N/A,#N/A,FALSE,"REPORT"}</definedName>
    <definedName name="wrn.731" localSheetId="25" hidden="1">{#N/A,#N/A,FALSE,"REPORT"}</definedName>
    <definedName name="wrn.750." localSheetId="25" hidden="1">{#N/A,#N/A,FALSE,"REPORT"}</definedName>
    <definedName name="wrn.7501" localSheetId="25" hidden="1">{#N/A,#N/A,FALSE,"REPORT"}</definedName>
    <definedName name="wrn.760.16." localSheetId="25" hidden="1">{#N/A,#N/A,FALSE,"REPORT"}</definedName>
    <definedName name="wrn.7900" localSheetId="25" hidden="1">{#N/A,#N/A,FALSE,"REPORT"}</definedName>
    <definedName name="wrn.905" localSheetId="25" hidden="1">{#N/A,#N/A,FALSE,"REPORT"}</definedName>
    <definedName name="wrn.94PV." localSheetId="25" hidden="1">{"Page1",#N/A,FALSE,"94PV";"Page2",#N/A,FALSE,"94PV"}</definedName>
    <definedName name="wrn.95PROV." localSheetId="25" hidden="1">{#N/A,#N/A,FALSE,"Taxblinc";#N/A,#N/A,FALSE,"Rsvsacls"}</definedName>
    <definedName name="wrn.96_Finan." localSheetId="25" hidden="1">{"Finan_96",#N/A,FALSE,"proforma"}</definedName>
    <definedName name="wrn.97_Finan." localSheetId="25" hidden="1">{"Finan_97",#N/A,FALSE,"proforma"}</definedName>
    <definedName name="wrn.97_Utility." localSheetId="25" hidden="1">{#N/A,#N/A,FALSE,"Statements";#N/A,#N/A,FALSE,"Capital";#N/A,#N/A,FALSE,"UTIL Monthly Inc ";#N/A,#N/A,FALSE,"UTIL REVENUE";#N/A,#N/A,FALSE,"UTIL SERV REV ";#N/A,#N/A,FALSE,"Manpower";#N/A,#N/A,FALSE,"Maintenance";#N/A,#N/A,FALSE,"Util Sales Support";#N/A,#N/A,FALSE,"SI - UTIL";#N/A,#N/A,FALSE,"Sales - Utili";#N/A,#N/A,FALSE,"Util - Mktg"}</definedName>
    <definedName name="wrn.99999" localSheetId="25" hidden="1">{#N/A,#N/A,FALSE,"REPORT"}</definedName>
    <definedName name="wrn.A_VALUATION." localSheetId="25" hidden="1">{#N/A,#N/A,FALSE,"A_D";#N/A,#N/A,FALSE,"WACC";#N/A,#N/A,FALSE,"DCF";#N/A,#N/A,FALSE,"A";#N/A,#N/A,FALSE,"LBO";#N/A,#N/A,FALSE,"C";#N/A,#N/A,FALSE,"impd";#N/A,#N/A,FALSE,"comps"}</definedName>
    <definedName name="wrn.a_valuation1" localSheetId="25" hidden="1">{#N/A,#N/A,FALSE,"A_D";#N/A,#N/A,FALSE,"WACC";#N/A,#N/A,FALSE,"DCF";#N/A,#N/A,FALSE,"A";#N/A,#N/A,FALSE,"LBO";#N/A,#N/A,FALSE,"C";#N/A,#N/A,FALSE,"impd";#N/A,#N/A,FALSE,"comps"}</definedName>
    <definedName name="wrn.aaa" localSheetId="25" hidden="1">{#N/A,#N/A,FALSE,"Pharm";#N/A,#N/A,FALSE,"WWCM"}</definedName>
    <definedName name="wrn.aaaaaaa" localSheetId="25" hidden="1">{#N/A,#N/A,FALSE,"Pharm";#N/A,#N/A,FALSE,"WWCM"}</definedName>
    <definedName name="wrn.Accounts." localSheetId="25" hidden="1">{"turnover",#N/A,FALSE;"profits",#N/A,FALSE;"cash",#N/A,FALSE}</definedName>
    <definedName name="wrn.Accr_Dil." localSheetId="25" hidden="1">{#N/A,#N/A,FALSE,"Debt Accr";#N/A,#N/A,FALSE,"Stock Accr";#N/A,#N/A,FALSE,"Debt Stock Accr"}</definedName>
    <definedName name="wrn.ACI." localSheetId="25" hidden="1">{"ACI IS",#N/A,FALSE,"ACI - IS";"ACI BS",#N/A,FALSE,"ACI - BS";"ACI Detail IS",#N/A,FALSE,"ACI - Detail IS";"ACI Detail IS Supplemental Info",#N/A,FALSE,"ACI - Detail IS";"ACI Monthly 1999",#N/A,FALSE,"ACI Monthly";"ACI Monthly 1998",#N/A,FALSE,"ACI Monthly";"ACI Monthly 1997",#N/A,FALSE,"ACI Monthly"}</definedName>
    <definedName name="wrn.Acquisition_matrix." localSheetId="25" hidden="1">{"Acq_matrix",#N/A,FALSE,"Acquisition Matrix"}</definedName>
    <definedName name="wrn.Ad._.Sales._.Op._.Exp." localSheetId="25" hidden="1">{#N/A,#N/A,FALSE,"ADSALES"}</definedName>
    <definedName name="wrn.adj95." localSheetId="25" hidden="1">{"adj95mult",#N/A,FALSE,"COMPCO";"adj95est",#N/A,FALSE,"COMPCO"}</definedName>
    <definedName name="wrn.adj95a" localSheetId="25" hidden="1">{"adj95mult",#N/A,FALSE,"COMPCO";"adj95est",#N/A,FALSE,"COMPCO"}</definedName>
    <definedName name="wrn.Adjustments." localSheetId="25" hidden="1">{"Page1",#N/A,FALSE,"Matrix (1)";"Page2",#N/A,FALSE,"Pay-Out";"Page3",#N/A,FALSE,"Prems_Reserves";"Page4",#N/A,FALSE,"Adj. EPS";"Page5",#N/A,FALSE,"Acc_Dil"}</definedName>
    <definedName name="wrn.Aff._.Sales._.Oper._.Exp." localSheetId="25" hidden="1">{#N/A,#N/A,FALSE,"AFFSALES"}</definedName>
    <definedName name="wrn.Aging._.and._.Trend._.Analysis." localSheetId="25" hidden="1">{#N/A,#N/A,FALSE,"Aging Summary";#N/A,#N/A,FALSE,"Ratio Analysis";#N/A,#N/A,FALSE,"Test 120 Day Accts";#N/A,#N/A,FALSE,"Tickmarks"}</definedName>
    <definedName name="wrn.all." localSheetId="25" hidden="1">{#N/A,#N/A,FALSE,"cpt"}</definedName>
    <definedName name="wrn.All._.Countries." localSheetId="25" hidden="1">{#N/A,#N/A,FALSE,"Australia";#N/A,#N/A,FALSE,"Austria";#N/A,#N/A,FALSE,"Belgium";#N/A,#N/A,FALSE,"Canada";#N/A,#N/A,FALSE,"France";#N/A,#N/A,FALSE,"Germany";#N/A,#N/A,FALSE,"Hong Kong";#N/A,#N/A,FALSE,"Italy";#N/A,#N/A,FALSE,"Japan";#N/A,#N/A,FALSE,"Korea";#N/A,#N/A,FALSE,"Mexico";#N/A,#N/A,FALSE,"Poland";#N/A,#N/A,FALSE,"Spain";#N/A,#N/A,FALSE,"Switzerland";#N/A,#N/A,FALSE,"UK"}</definedName>
    <definedName name="wrn.All._.details._.and._.calcs." localSheetId="25" hidden="1">{"IS_all_dtls_05_07",#N/A,FALSE,"IS";#N/A,#N/A,FALSE,"CF";#N/A,#N/A,FALSE,"BS";#N/A,#N/A,FALSE,"sgmts"}</definedName>
    <definedName name="wrn.All._.dtls._.and._.calcs._.05_06." localSheetId="25" hidden="1">{"IS_all_dtls_05_06",#N/A,FALSE,"IS";#N/A,#N/A,FALSE,"CF";#N/A,#N/A,FALSE,"sgmts";#N/A,#N/A,FALSE,"BS";"calcs_05_06",#N/A,FALSE,"calcs"}</definedName>
    <definedName name="wrn.ALL._.ENGINEERING." localSheetId="25" hidden="1">{#N/A,#N/A,FALSE,"Summary";#N/A,#N/A,FALSE,"Manpower";#N/A,#N/A,FALSE,"Richmond";#N/A,#N/A,FALSE,"Itasca";#N/A,#N/A,FALSE,"Cambridge";#N/A,#N/A,FALSE,"Development";#N/A,#N/A,FALSE,"Customer Eng'g";#N/A,#N/A,FALSE,"Richmond R&amp;D Projects";#N/A,#N/A,FALSE,"Itasca R&amp;D Projects";#N/A,#N/A,FALSE,"Cambridge R&amp;D Projects"}</definedName>
    <definedName name="wrn.all._.gulp._.sheets." localSheetId="25" hidden="1">{#N/A,#N/A,FALSE,"units";#N/A,#N/A,FALSE,"projections";#N/A,#N/A,FALSE,"calendar";#N/A,#N/A,FALSE,"gulp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name="wrn.all._.input." localSheetId="25"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localSheetId="25" hidden="1">{#N/A,#N/A,FALSE,"puboff";#N/A,#N/A,FALSE,"financials";#N/A,#N/A,FALSE,"valuation";#N/A,#N/A,FALSE,"split"}</definedName>
    <definedName name="wrn.all._.print." localSheetId="25" hidden="1">{#N/A,#N/A,FALSE,"Summary";#N/A,#N/A,FALSE,"Edit";#N/A,#N/A,FALSE,"MedProf";#N/A,#N/A,FALSE,"Proj Mgt";#N/A,#N/A,FALSE,"Creat Svc";#N/A,#N/A,FALSE,"Meet Svc";#N/A,#N/A,FALSE,"Non-OCC";#N/A,#N/A,FALSE,"Client Svc";#N/A,#N/A,FALSE,"Bus Dev";#N/A,#N/A,FALSE,"Indirect"}</definedName>
    <definedName name="wrn.All._.Reports." localSheetId="25" hidden="1">{"Stat of Ops Summary",#N/A,FALSE,"Summ P&amp;L";"Balance Sheet",#N/A,FALSE,"Summ P&amp;L";"Cash Flow",#N/A,FALSE,"Summ P&amp;L";"Facility Stats",#N/A,FALSE,"Summ P&amp;L";"Stat of Ops Detail",#N/A,FALSE,"Expenses by Dept";"Census",#N/A,FALSE,"Census";"Billing Template",#N/A,FALSE,"Billing Rates";"Staffing $s",#N/A,FALSE,"Staffing";"Staffing Pattern",#N/A,FALSE,"Staffing Pattern";"Assumptions",#N/A,FALSE,"Assumptions";"Capital Expenditures",#N/A,FALSE,"Capital Expenditures";"Prepaids/Accruals",#N/A,FALSE,"Prepaid_Accrual Wkst"}</definedName>
    <definedName name="wrn.ALL._.SHEETS." localSheetId="25" hidden="1">{#N/A,#N/A,FALSE,"Adj Proj";#N/A,#N/A,FALSE,"Sheet1";#N/A,#N/A,FALSE,"LBO";#N/A,#N/A,FALSE,"LBOMER";#N/A,#N/A,FALSE,"WACC";#N/A,#N/A,FALSE,"DCF";#N/A,#N/A,FALSE,"DCFMER";#N/A,#N/A,FALSE,"Pooling";#N/A,#N/A,FALSE,"income";#N/A,#N/A,FALSE,"Offer"}</definedName>
    <definedName name="wrn.All._.Sites." localSheetId="25" hidden="1">{#N/A,#N/A,FALSE,"Bakersfield PCs";#N/A,#N/A,FALSE,"Bremer PCs";#N/A,#N/A,FALSE,"Bakersfield Notebooks"}</definedName>
    <definedName name="wrn.all.2" localSheetId="25" hidden="1">{#N/A,#N/A,FALSE,"DCF";#N/A,#N/A,FALSE,"WACC";#N/A,#N/A,FALSE,"Sales_EBIT";#N/A,#N/A,FALSE,"Capex_Depreciation";#N/A,#N/A,FALSE,"WC";#N/A,#N/A,FALSE,"Interest";#N/A,#N/A,FALSE,"Assumptions"}</definedName>
    <definedName name="wrn.All_Models." localSheetId="25" hidden="1">{#N/A,#N/A,FALSE,"Summary";#N/A,#N/A,FALSE,"Projections";#N/A,#N/A,FALSE,"Mkt Mults";#N/A,#N/A,FALSE,"DCF";#N/A,#N/A,FALSE,"Accr Dil";#N/A,#N/A,FALSE,"PIC LBO";#N/A,#N/A,FALSE,"MULT10_4";#N/A,#N/A,FALSE,"CBI LBO"}</definedName>
    <definedName name="wrn.All_Models2" localSheetId="25" hidden="1">{#N/A,#N/A,FALSE,"Projections";#N/A,#N/A,FALSE,"Multiples Valuation";#N/A,#N/A,FALSE,"LBO";#N/A,#N/A,FALSE,"Multiples_Sensitivity";#N/A,#N/A,FALSE,"Summary"}</definedName>
    <definedName name="wrn.All_Sheets." localSheetId="25" hidden="1">{#N/A,#N/A,FALSE,"Projections";#N/A,#N/A,FALSE,"Contribution_Stock";#N/A,#N/A,FALSE,"PF_Combo_Stock";#N/A,#N/A,FALSE,"Projections";#N/A,#N/A,FALSE,"Contribution_Cash";#N/A,#N/A,FALSE,"PF_Combo_Cash";#N/A,#N/A,FALSE,"IPO_Cash"}</definedName>
    <definedName name="wrn.ALL2." localSheetId="25" hidden="1">{#N/A,#N/A,FALSE,"DCF";#N/A,#N/A,FALSE,"WACC";#N/A,#N/A,FALSE,"Sales_EBIT";#N/A,#N/A,FALSE,"Capex_Depreciation";#N/A,#N/A,FALSE,"WC";#N/A,#N/A,FALSE,"Interest";#N/A,#N/A,FALSE,"Assumptions"}</definedName>
    <definedName name="wrn.all3" localSheetId="25" hidden="1">{#N/A,#N/A,FALSE,"assumptions";#N/A,#N/A,FALSE,"v_projcy";#N/A,#N/A,FALSE,"tar_proj";#N/A,#N/A,FALSE,"contrib_annual";#N/A,#N/A,FALSE,"Proforma";#N/A,#N/A,FALSE,"purc_97";#N/A,#N/A,FALSE,"syn_purc_97";#N/A,#N/A,FALSE,"pool_97";#N/A,#N/A,FALSE,"syn_pool_97";#N/A,#N/A,FALSE,"pool1_FY2"}</definedName>
    <definedName name="wrn.ALL94." localSheetId="25" hidden="1">{"COMBINED94",#N/A,FALSE,"BALANCE SHEET";"KRONE94",#N/A,FALSE,"BALANCE SHEET";"PENNTECH94",#N/A,FALSE,"BALANCE SHEET";"INTERSYSTEMS94",#N/A,FALSE,"BALANCE SHEET";"COMBINED94",#N/A,FALSE,"USCASH";"KRONE94",#N/A,FALSE,"USCASH";"PENNTECH94",#N/A,FALSE,"USCASH";"INTERSYSTEMS94",#N/A,FALSE,"USCASH"}</definedName>
    <definedName name="wrn.ALLbutPREMIUM." localSheetId="25" hidden="1">{#N/A,#N/A,FALSE,"Projections";#N/A,#N/A,FALSE,"AccrDil";#N/A,#N/A,FALSE,"PurchPriMult";#N/A,#N/A,FALSE,"Mults7_13";#N/A,#N/A,FALSE,"Mkt Mults";#N/A,#N/A,FALSE,"Acq Mults";#N/A,#N/A,FALSE,"StockPrices";#N/A,#N/A,FALSE,"Prem Paid";#N/A,#N/A,FALSE,"DCF";#N/A,#N/A,FALSE,"AUTO";#N/A,#N/A,FALSE,"Relative Trading";#N/A,#N/A,FALSE,"Mkt Val";#N/A,#N/A,FALSE,"Acq Val"}</definedName>
    <definedName name="wrn.ALLbutPREMUIM2" localSheetId="25" hidden="1">{#N/A,#N/A,FALSE,"Projections";#N/A,#N/A,FALSE,"AccrDil";#N/A,#N/A,FALSE,"PurchPriMult";#N/A,#N/A,FALSE,"Mults7_13";#N/A,#N/A,FALSE,"Mkt Mults";#N/A,#N/A,FALSE,"Acq Mults";#N/A,#N/A,FALSE,"StockPrices";#N/A,#N/A,FALSE,"Prem Paid";#N/A,#N/A,FALSE,"DCF";#N/A,#N/A,FALSE,"AUTO";#N/A,#N/A,FALSE,"Relative Trading";#N/A,#N/A,FALSE,"Mkt Val";#N/A,#N/A,FALSE,"Acq Val"}</definedName>
    <definedName name="wrn.AllDataPages." localSheetId="25" hidden="1">{#N/A,#N/A,FALSE,"Balance Sheet";#N/A,#N/A,FALSE,"Income Statement";#N/A,#N/A,FALSE,"Changes in Financial Position"}</definedName>
    <definedName name="wrn.AllModels." localSheetId="25" hidden="1">{#N/A,#N/A,FALSE,"AD_Purchase";#N/A,#N/A,FALSE,"Credit";#N/A,#N/A,FALSE,"PF Acquisition";#N/A,#N/A,FALSE,"PF Offering"}</definedName>
    <definedName name="wrn.AMSA." localSheetId="25" hidden="1">{#N/A,#N/A,FALSE,"EARNINGS";#N/A,#N/A,FALSE,"FINANCIAL";#N/A,#N/A,FALSE,"OPERATIONAL"}</definedName>
    <definedName name="wrn.AMTNOL." localSheetId="25" hidden="1">{#N/A,#N/A,TRUE,"91AMTNOL";#N/A,#N/A,TRUE,"92AMTNOL";#N/A,#N/A,TRUE,"93AMTNOL"}</definedName>
    <definedName name="wrn.Analytic." localSheetId="25" hidden="1">{#N/A,#N/A,FALSE,"Fisons_Sci_Instr";#N/A,#N/A,FALSE,"Fisons_Lab_Supplies";#N/A,#N/A,FALSE,"Nunc";#N/A,#N/A,FALSE,"Sorvall";#N/A,#N/A,FALSE,"Dynatech";#N/A,#N/A,FALSE,"Hach"}</definedName>
    <definedName name="wrn.anexos." localSheetId="25" hidden="1">{#N/A,#N/A,FALSE,"Page1";#N/A,#N/A,FALSE,"Page2";#N/A,#N/A,FALSE,"Page3";#N/A,#N/A,FALSE,"Page4";#N/A,#N/A,FALSE,"Page5";#N/A,#N/A,FALSE,"Page6";#N/A,#N/A,FALSE,"Page7";#N/A,#N/A,FALSE,"Page8";#N/A,#N/A,FALSE,"Page9";#N/A,#N/A,FALSE,"Page10";#N/A,#N/A,FALSE,"Page11"}</definedName>
    <definedName name="wrn.AQUIROR._.DCF." localSheetId="25" hidden="1">{"AQUIRORDCF",#N/A,FALSE,"Merger consequences";"Acquirorassns",#N/A,FALSE,"Merger consequences"}</definedName>
    <definedName name="wrn.AR." localSheetId="25" hidden="1">{"AR",#N/A,TRUE,"AR 9904"}</definedName>
    <definedName name="wrn.AR9906." localSheetId="25" hidden="1">{"ar9906",#N/A,TRUE,"AR 9906"}</definedName>
    <definedName name="wrn.AR9907." localSheetId="25" hidden="1">{"AR9907",#N/A,TRUE,"AR 9907"}</definedName>
    <definedName name="wrn.Asia." localSheetId="25"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udit._.adjustments." localSheetId="25" hidden="1">{#N/A,#N/A,TRUE,"Summary";#N/A,#N/A,TRUE,"Amort.";#N/A,#N/A,TRUE,"93TAX";#N/A,#N/A,TRUE,"93NOLCB";#N/A,#N/A,TRUE,"92TAX";#N/A,#N/A,TRUE,"92NOLCB";#N/A,#N/A,TRUE,"91TAX";#N/A,#N/A,TRUE,"91NOLCB";#N/A,#N/A,TRUE,"92AMTNOL";#N/A,#N/A,TRUE,"921120X"}</definedName>
    <definedName name="wrn.Auto._.Comp." localSheetId="25" hidden="1">{#N/A,#N/A,FALSE,"Sheet1"}</definedName>
    <definedName name="wrn.Back._.Page." localSheetId="25" hidden="1">{"Back Page",#N/A,FALSE,"Front and Back"}</definedName>
    <definedName name="wrn.Balance._.Sheet." localSheetId="25" hidden="1">{"Assets",#N/A,FALSE,"Balance Sheet";"Liabilities",#N/A,FALSE,"Balance Sheet"}</definedName>
    <definedName name="wrn.BALSHE." localSheetId="25" hidden="1">{#N/A,#N/A,FALSE,"BALR$97";#N/A,#N/A,FALSE,"INCR$97";#N/A,#N/A,FALSE,"BALUS$97";#N/A,#N/A,FALSE,"FINANC97";#N/A,#N/A,FALSE,"CFLOW97";#N/A,#N/A,FALSE,"INCUS$97";#N/A,#N/A,FALSE,"CASH97";#N/A,#N/A,FALSE,"STOCKH97"}</definedName>
    <definedName name="wrn.balsheets." localSheetId="25" hidden="1">{"grpbs",#N/A,FALSE,"Group";"habs",#N/A,FALSE,"Group";"bs",#N/A,FALSE,"MetalSys";"bs",#N/A,FALSE,"Display";"bs",#N/A,FALSE,"Hcliffe"}</definedName>
    <definedName name="wrn.BALSHEGESPA." localSheetId="25" hidden="1">{#N/A,#N/A,FALSE,"BALUS$97";#N/A,#N/A,FALSE,"INCUS$97";#N/A,#N/A,FALSE,"BALR$97";#N/A,#N/A,FALSE,"INCR$97";#N/A,#N/A,FALSE,"STOCKH97";#N/A,#N/A,FALSE,"FINANC97";#N/A,#N/A,FALSE,"CFLOW97"}</definedName>
    <definedName name="wrn.Bank." localSheetId="25" hidden="1">{"OPL1",#N/A,FALSE,"PL";"OpAnal",#N/A,FALSE,"Op";"BS2",#N/A,FALSE,"BS";"CF1(a)",#N/A,FALSE,"Op"}</definedName>
    <definedName name="wrn.Bankers." localSheetId="25"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se_Middle_Drivers." localSheetId="25" hidden="1">{#N/A,#N/A,TRUE,"DCF Summary (2)";#N/A,#N/A,TRUE,"DCF Summary";#N/A,"Middle Case Drivers",TRUE,"DCF"}</definedName>
    <definedName name="wrn.basics." localSheetId="25" hidden="1">{#N/A,#N/A,FALSE,"TSUM";#N/A,#N/A,FALSE,"shares";#N/A,#N/A,FALSE,"earnout";#N/A,#N/A,FALSE,"Heaty";#N/A,#N/A,FALSE,"self-tend";#N/A,#N/A,FALSE,"self-sum"}</definedName>
    <definedName name="wrn.BBCert." localSheetId="25" hidden="1">{#N/A,#N/A,FALSE,"BBCert";#N/A,#N/A,FALSE,"Ineligible Summ";#N/A,#N/A,FALSE,"Ineligible Detail"}</definedName>
    <definedName name="wrn.BEL." localSheetId="25" hidden="1">{"IS",#N/A,FALSE,"IS";"RPTIS",#N/A,FALSE,"RPTIS";"STATS",#N/A,FALSE,"STATS";"CELL",#N/A,FALSE,"CELL";"BS",#N/A,FALSE,"BS"}</definedName>
    <definedName name="wrn.BEL.1" localSheetId="25" hidden="1">{"IS",#N/A,FALSE,"IS";"RPTIS",#N/A,FALSE,"RPTIS";"STATS",#N/A,FALSE,"STATS";"CELL",#N/A,FALSE,"CELL";"BS",#N/A,FALSE,"BS"}</definedName>
    <definedName name="wrn.Bewegungsbilanz." localSheetId="25" hidden="1">{#N/A,#N/A,FALSE,"Mittelherkunft";#N/A,#N/A,FALSE,"Mittelverwendung"}</definedName>
    <definedName name="wrn.Bilanz." localSheetId="25" hidden="1">{#N/A,#N/A,FALSE,"Layout Aktiva";#N/A,#N/A,FALSE,"Layout Passiva"}</definedName>
    <definedName name="wrn.bm" localSheetId="25"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oard._.Forecast." localSheetId="25"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BP._.print." localSheetId="25" hidden="1">{#N/A,#N/A,FALSE,"BANNERS";#N/A,#N/A,FALSE,"Market";#N/A,#N/A,FALSE,"Tel Rev";#N/A,#N/A,FALSE,"Revenues IOL";#N/A,#N/A,FALSE,"Invest";#N/A,#N/A,FALSE,"Op Cost1";#N/A,#N/A,FALSE,"Op Cost2";#N/A,#N/A,FALSE,"Oth_&amp;_Tot_Revenues";#N/A,#N/A,FALSE,"Fin Mod";#N/A,#N/A,FALSE,"FinMod_RoW";#N/A,#N/A,FALSE,"P&amp;E Burocrat";#N/A,#N/A,FALSE,"cash flow"}</definedName>
    <definedName name="wrn.Budget._.Package." localSheetId="25" hidden="1">{#N/A,#N/A,FALSE,"Comparison";#N/A,#N/A,FALSE,"Income Statement";#N/A,#N/A,FALSE,"Balance Sheet";#N/A,#N/A,FALSE,"Cash Flow";#N/A,#N/A,FALSE,"Material &amp; Labor";#N/A,#N/A,FALSE,"Operating OH"}</definedName>
    <definedName name="wrn.bullshit1." localSheetId="25" hidden="1">{#N/A,#N/A,FALSE,"Sheet1";#N/A,#N/A,FALSE,"Summary";#N/A,#N/A,FALSE,"proj1";#N/A,#N/A,FALSE,"proj2"}</definedName>
    <definedName name="wrn.C._.15." localSheetId="25" hidden="1">{#N/A,#N/A,FALSE,"RESUMO";#N/A,#N/A,FALSE,"DISTRIB";#N/A,#N/A,FALSE,"CB";#N/A,#N/A,FALSE,"FERTCUB";#N/A,#N/A,FALSE,"FERTCAT";#N/A,#N/A,FALSE,"TRADE";#N/A,#N/A,FALSE,"DISTSELGA"}</definedName>
    <definedName name="wrn.CapersPlotter." localSheetId="25" hidden="1">{#N/A,#N/A,FALSE,"DI 2 YEAR MASTER SCHEDULE"}</definedName>
    <definedName name="wrn.Capital." localSheetId="25" hidden="1">{#N/A,#N/A,TRUE,"TOTAL";#N/A,#N/A,TRUE,"SNAPSHOT";#N/A,#N/A,TRUE,"WBFF";#N/A,#N/A,TRUE,"WNUV";#N/A,#N/A,TRUE,"WCHS";#N/A,#N/A,TRUE,"WVAH";#N/A,#N/A,TRUE,"WCGV";#N/A,#N/A,TRUE,"WVTV";#N/A,#N/A,TRUE,"KLGT";#N/A,#N/A,TRUE,"WLFL";#N/A,#N/A,TRUE,"WRDC";#N/A,#N/A,TRUE,"WUPN";#N/A,#N/A,TRUE,"WXLV";#N/A,#N/A,TRUE,"KSBI";#N/A,#N/A,TRUE,"WDKA";#N/A,#N/A,TRUE,"KDSM";#N/A,#N/A,TRUE,"KVWB";#N/A,#N/A,TRUE,"KFBT";#N/A,#N/A,TRUE,"KLSB";#N/A,#N/A,TRUE,"WYZZ";#N/A,#N/A,TRUE,"KOVR";#N/A,#N/A,TRUE,"KABB";#N/A,#N/A,TRUE,"KRRT";#N/A,#N/A,TRUE,"KETK";#N/A,#N/A,TRUE,"WTTE";#N/A,#N/A,TRUE,"WSYX";#N/A,#N/A,TRUE,"WSMH";#N/A,#N/A,TRUE,"WFGX";#N/A,#N/A,TRUE,"WTVZ";#N/A,#N/A,TRUE,"WEAR";#N/A,#N/A,TRUE,"WSYT";#N/A,#N/A,TRUE,"WNYS";#N/A,#N/A,TRUE,"WABM";#N/A,#N/A,TRUE,"WTTO";#N/A,#N/A,TRUE,"WTTV";#N/A,#N/A,TRUE,"WUXP";#N/A,#N/A,TRUE,"WZTV";#N/A,#N/A,TRUE,"WDBB";#N/A,#N/A,TRUE,"WUTV";#N/A,#N/A,TRUE,"WSTR";#N/A,#N/A,TRUE,"KSMO";#N/A,#N/A,TRUE,"WPGH.WPTT";#N/A,#N/A,TRUE,"WUHF";#N/A,#N/A,TRUE,"KDNL";#N/A,#N/A,TRUE,"WLOS";#N/A,#N/A,TRUE,"WTAT";#N/A,#N/A,TRUE,"WRGT";#N/A,#N/A,TRUE,"WKEF";#N/A,#N/A,TRUE,"WFBC";#N/A,#N/A,TRUE,"WEMT";#N/A,#N/A,TRUE,"WDKY";#N/A,#N/A,TRUE,"WMSN";#N/A,#N/A,TRUE,"WMMP";#N/A,#N/A,TRUE,"KOCB";#N/A,#N/A,TRUE,"KOKH";#N/A,#N/A,TRUE,"WRLH";#N/A,#N/A,TRUE,"WTTA";#N/A,#N/A,TRUE,"NEWORLEANS";#N/A,#N/A,TRUE,"BUFFALO";#N/A,#N/A,TRUE,"MEMPHIS";#N/A,#N/A,TRUE,"WILKESBARRE";#N/A,#N/A,TRUE,"LOSANGELES";#N/A,#N/A,TRUE,"GREENVILLE";#N/A,#N/A,TRUE,"STLOUIS";#N/A,#N/A,TRUE,"NORFOLK";#N/A,#N/A,TRUE,"KANSAS";#N/A,#N/A,TRUE,"MILWAUKEE";#N/A,#N/A,TRUE,"SCI.SBG"}</definedName>
    <definedName name="wrn.capplan." localSheetId="25" hidden="1">{#N/A,#N/A,FALSE,"SUMMARY";#N/A,#N/A,FALSE,"TECHNOLOGY";#N/A,#N/A,FALSE,"YEAR2000";#N/A,#N/A,FALSE,"GENERAL SERVICES";#N/A,#N/A,FALSE,"PROD MANAGE";#N/A,#N/A,FALSE,"BOG";#N/A,#N/A,FALSE,"PROT CONT";#N/A,#N/A,FALSE,"INVEST COMP"}</definedName>
    <definedName name="wrn.Cardiovasculars." localSheetId="25" hidden="1">{#N/A,#N/A,FALSE,"Card";#N/A,#N/A,FALSE,"Prav";#N/A,#N/A,FALSE,"Irbe";#N/A,#N/A,FALSE,"Plavix";#N/A,#N/A,FALSE,"Capt";#N/A,#N/A,FALSE,"Fosi"}</definedName>
    <definedName name="wrn.Cash._.Flow." localSheetId="25" hidden="1">{#N/A,#N/A,FALSE,"Layout Cash Flow"}</definedName>
    <definedName name="wrn.CASHPROJ." localSheetId="25" hidden="1">{"CASHPROJ",#N/A,FALSE,"CASHPROJ";"BANK",#N/A,FALSE,"Bank";"SALES",#N/A,FALSE,"Sales";"AR",#N/A,FALSE,"AR";"AP",#N/A,FALSE,"AP";"DAILE",#N/A,FALSE,"Daily";"SALESVAR",#N/A,FALSE,"SalesVar";"SUM",#N/A,FALSE,"Sum"}</definedName>
    <definedName name="wrn.Central._.Nervous._.System." localSheetId="25" hidden="1">{#N/A,#N/A,FALSE,"CNS";#N/A,#N/A,FALSE,"Serz";#N/A,#N/A,FALSE,"Ace"}</definedName>
    <definedName name="wrn.CHI._.Monthly._.Summary." localSheetId="25" hidden="1">{"CHI Holdings Monthly Summary",#N/A,FALSE,"InOrderAudit"}</definedName>
    <definedName name="wrn.Chiron._.IRS._.Audit." localSheetId="25" hidden="1">{#N/A,#N/A,FALSE,"Summary";#N/A,#N/A,FALSE,"1991";#N/A,#N/A,FALSE,"91 AMT";#N/A,#N/A,FALSE,"1992";#N/A,#N/A,FALSE,"92 AMT";#N/A,#N/A,FALSE,"1993";#N/A,#N/A,FALSE,"93 AMT"}</definedName>
    <definedName name="wrn.CIS." localSheetId="25" hidden="1">{"bsheet",#N/A,FALSE,"Present";"income",#N/A,FALSE,"Present";"ratios1",#N/A,FALSE,"Present";"expenses",#N/A,FALSE,"Present";"ratios2",#N/A,FALSE,"Present";"cashflow",#N/A,FALSE,"Present";"GAAP",#N/A,FALSE,"Present";"dividends",#N/A,FALSE,"Present";"invest1",#N/A,FALSE,"Present";"earned",#N/A,FALSE,"Present";"reserves1",#N/A,FALSE,"Present";"reserves2",#N/A,FALSE,"Present"}</definedName>
    <definedName name="wrn.COGS." localSheetId="25" hidden="1">{"Balt COGS",#N/A,FALSE,"COGS";"Balt Sum",#N/A,FALSE,"SUM";"Balt Defd Var",#N/A,FALSE,"DEFD VAR";"Balt Input Usage",#N/A,FALSE,"INPUT";"Balt Input PPV",#N/A,FALSE,"INPUT"}</definedName>
    <definedName name="wrn.COMBINED." localSheetId="25" hidden="1">{#N/A,#N/A,FALSE,"INPUTS";#N/A,#N/A,FALSE,"PROFORMA BSHEET";#N/A,#N/A,FALSE,"COMBINED";#N/A,#N/A,FALSE,"HIGH YIELD";#N/A,#N/A,FALSE,"COMB_GRAPHS"}</definedName>
    <definedName name="wrn.COMP._.BS._.MONTH._.YTD." localSheetId="25" hidden="1">{"COMP BS",#N/A,FALSE,"Comparative BS"}</definedName>
    <definedName name="wrn.COMP._.CF._.AT._.Current._.ER." localSheetId="25" hidden="1">{"COMP CF",#N/A,FALSE,"Comp CF"}</definedName>
    <definedName name="wrn.COMP._.IS._.FEES._.ELIMINS." localSheetId="25" hidden="1">{"COMP FEES ELIMINS",#N/A,FALSE,"COMPIS FEES"}</definedName>
    <definedName name="wrn.Comparative._.BS._.WO._.Local." localSheetId="25" hidden="1">{"US Current",#N/A,FALSE,"Mthly BS"}</definedName>
    <definedName name="wrn.Comparative._.Cash._.Flow." localSheetId="25" hidden="1">{#N/A,#N/A,FALSE,"Comp CF"}</definedName>
    <definedName name="wrn.Comparative._.IS._.Report." localSheetId="25" hidden="1">{"COMP IS View",#N/A,FALSE,"Comparative IS"}</definedName>
    <definedName name="wrn.compare." localSheetId="25" hidden="1">{"page1",#N/A,FALSE,"Temp";"page2",#N/A,FALSE,"Temp";"page3",#N/A,FALSE,"Temp";"page4",#N/A,FALSE,"Temp";"page5",#N/A,FALSE,"Temp";"page6",#N/A,FALSE,"Temp"}</definedName>
    <definedName name="wrn.COMPCO." localSheetId="25" hidden="1">{"Page1",#N/A,FALSE,"CompCo";"Page2",#N/A,FALSE,"CompCo"}</definedName>
    <definedName name="wrn.compco2" localSheetId="25" hidden="1">{"mult96",#N/A,FALSE,"PETCOMP";"est96",#N/A,FALSE,"PETCOMP";"mult95",#N/A,FALSE,"PETCOMP";"est95",#N/A,FALSE,"PETCOMP";"multltm",#N/A,FALSE,"PETCOMP";"resultltm",#N/A,FALSE,"PETCOMP"}</definedName>
    <definedName name="wrn.compco3" localSheetId="25" hidden="1">{"mult96",#N/A,FALSE,"PETCOMP";"est96",#N/A,FALSE,"PETCOMP";"mult95",#N/A,FALSE,"PETCOMP";"est95",#N/A,FALSE,"PETCOMP";"multltm",#N/A,FALSE,"PETCOMP";"resultltm",#N/A,FALSE,"PETCOMP"}</definedName>
    <definedName name="wrn.Complete." localSheetId="25" hidden="1">{#N/A,#N/A,TRUE,"Statements";#N/A,#N/A,TRUE,"Capital";#N/A,#N/A,TRUE,"Manpower";#N/A,#N/A,TRUE,"Sheet1";#N/A,#N/A,TRUE,"HISTORIC";#N/A,#N/A,TRUE,"Barbados"}</definedName>
    <definedName name="wrn.Complete._.Budget." localSheetId="25"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Print._.Out." localSheetId="25" hidden="1">{#N/A,#N/A,TRUE,"Statements";#N/A,#N/A,TRUE,"Capital";#N/A,#N/A,TRUE,"TOT Monthly Inc";#N/A,#N/A,TRUE,"UTIL Monthly Inc ";#N/A,#N/A,TRUE,"TEL Monthly Inc";#N/A,#N/A,TRUE,"TOT REVENUE";#N/A,#N/A,TRUE,"UTIL REVENUE";#N/A,#N/A,TRUE,"TEL REVENUE";#N/A,#N/A,TRUE,"UTIL SERV REV ";#N/A,#N/A,TRUE,"Manpower";#N/A,#N/A,TRUE,"Util - Manpower";#N/A,#N/A,TRUE,"Tel - Manpower";#N/A,#N/A,TRUE,"Salary";#N/A,#N/A,TRUE,"Overheads";#N/A,#N/A,TRUE,"Dept Sum";#N/A,#N/A,TRUE,"Admin";#N/A,#N/A,TRUE,"Barbados";#N/A,#N/A,TRUE,"Maintenance";#N/A,#N/A,TRUE,"Product Mktg";#N/A,#N/A,TRUE,"Util Sales Support";#N/A,#N/A,TRUE,"Tel Sales Support";#N/A,#N/A,TRUE,"CONS - SI";#N/A,#N/A,TRUE,"SI - UTIL";#N/A,#N/A,TRUE,"SI - TELCO";#N/A,#N/A,TRUE,"PROJECTS";#N/A,#N/A,TRUE,"R&amp;D";#N/A,#N/A,TRUE,"Cons S&amp;M";#N/A,#N/A,TRUE,"Sales - Utili";#N/A,#N/A,TRUE,"Sales - Telco";#N/A,#N/A,TRUE,"Util - Mktg";#N/A,#N/A,TRUE,"Tel - Mktg";#N/A,#N/A,TRUE,"Mktg";#N/A,#N/A,TRUE,"Int'l Mktg"}</definedName>
    <definedName name="wrn.Consol._.adjusts." localSheetId="25" hidden="1">{"adjPL1",#N/A,FALSE,"adj";"adjPL2",#N/A,FALSE,"adj";"adjPL2a",#N/A,FALSE,"adj";"adjPL2b",#N/A,FALSE,"adj";"adjPL3",#N/A,FALSE,"adj";"adjPL4",#N/A,FALSE,"adj";"adjPL5",#N/A,FALSE,"adj";"adjBS2",#N/A,FALSE,"adj";"adjBS3",#N/A,FALSE,"adj";"adjCF1",#N/A,FALSE,"adj";"adjCF4",#N/A,FALSE,"adj"}</definedName>
    <definedName name="wrn.Consolidated." localSheetId="25" hidden="1">{#N/A,#N/A,FALSE,"Consol Assets";#N/A,#N/A,FALSE,"Consol Liab";#N/A,#N/A,FALSE,"Consol Income";#N/A,#N/A,FALSE,"Consol FOH";#N/A,#N/A,FALSE,"Consol SGA"}</definedName>
    <definedName name="wrn.Consolidated._.Schedules." localSheetId="25" hidden="1">{"Title",#N/A,FALSE,"Title";"PL.1",#N/A,FALSE,"con";"PL.2a",#N/A,FALSE,"con";"PL.2",#N/A,FALSE,"con";"PL.2b",#N/A,FALSE,"con";"PL.2c",#N/A,FALSE,"con";"PL.2d",#N/A,FALSE,"con";"PL.3",#N/A,FALSE,"con";"PL.4",#N/A,FALSE,"con";"PL.5",#N/A,FALSE,"con";"PL.1.mth",#N/A,FALSE,"con";"PL.2a.mth",#N/A,FALSE,"con";"PL.2.mth",#N/A,FALSE,"con";"PL.2b.mth",#N/A,FALSE,"con";"PL.2c.mth",#N/A,FALSE,"con";"PL.2d.mth",#N/A,FALSE,"con";"PL.3.mth",#N/A,FALSE,"con";"PL.4.mth",#N/A,FALSE,"con";"PL.5.mth",#N/A,FALSE,"con";"PL.1.cum",#N/A,FALSE,"con";"PL.2a.cum",#N/A,FALSE,"con";"PL.2.cum",#N/A,FALSE,"con";"PL.2b.cum",#N/A,FALSE,"con";"PL.2c.cum",#N/A,FALSE,"con";"PL.2d.cum",#N/A,FALSE,"con";"PL.3.cum",#N/A,FALSE,"con";"PL.4.cum",#N/A,FALSE,"con";"PL.5.cum",#N/A,FALSE,"con";"BS.1",#N/A,FALSE,"con";"BS.2",#N/A,FALSE,"con";"BS.3",#N/A,FALSE,"con";"CF.1",#N/A,FALSE,"con";"CF.2",#N/A,FALSE,"con"}</definedName>
    <definedName name="wrn.Consolidating." localSheetId="25" hidden="1">{"Consolidated IS",#N/A,FALSE,"Consolidated IS";"Consolidated Detail IS",#N/A,FALSE,"Consolidated Detail IS";"Consolidated Detail Supplemental Info",#N/A,FALSE,"Consolidated Detail IS";"Consolidated CF",#N/A,FALSE,"Consolidated CF";"Consolidated BS",#N/A,FALSE,"Consolidated BS";"Consolidating 1999 Detail IS",#N/A,FALSE,"1999 Detail IS";"Consolidated 1999 Supplemental Info",#N/A,FALSE,"1999 Detail IS";"Consolidating 1998 Detail IS",#N/A,FALSE,"1998 Detail IS";"Consolidating 1998 Supplemental Info",#N/A,FALSE,"1998 Detail IS";"Consolidating 1997 Detail IS",#N/A,FALSE,"1997 Detail IS";"Consolidated 1997 Supplemental Info",#N/A,FALSE,"1997 Detail IS"}</definedName>
    <definedName name="wrn.Consolidation._.Adjustments." localSheetId="25" hidden="1">{"xPL.1",#N/A,FALSE,"adj";"xPL.2a",#N/A,FALSE,"adj";"xPL.2",#N/A,FALSE,"adj";"xPL.3",#N/A,FALSE,"adj";"xPL.4",#N/A,FALSE,"adj";"xPL.1.mth",#N/A,FALSE,"adj";"xPL.5",#N/A,FALSE,"adj";"xBS.1",#N/A,FALSE,"adj";"xBS.2",#N/A,FALSE,"adj";"xBS.3",#N/A,FALSE,"adj";"xCF.1",#N/A,FALSE,"adj";"xCF.2",#N/A,FALSE,"adj";"xPL.2a.mth",#N/A,FALSE,"adj";"xPL.2.mth",#N/A,FALSE,"adj";"xPL.2b.mth",#N/A,FALSE,"adj";"xPL.3.mth",#N/A,FALSE,"adj";"xPL.4.mth",#N/A,FALSE,"adj";"xPL.2.cum",#N/A,FALSE,"adj";"xPL.5.mth",#N/A,FALSE,"adj";"xPL.1.cum",#N/A,FALSE,"adj";"xPL.2.cum",#N/A,FALSE,"adj";"xPL.2a.cum",#N/A,FALSE,"adj";"xPL.2b.cum",#N/A,FALSE,"adj";"xPL.3.cum",#N/A,FALSE,"adj";"xPL.4.cum",#N/A,FALSE,"adj";"xPL.5.cum",#N/A,FALSE,"adj"}</definedName>
    <definedName name="wrn.Consumer._.Medicines." localSheetId="25" hidden="1">{#N/A,#N/A,FALSE,"OTC";#N/A,#N/A,FALSE,"Ther";#N/A,#N/A,FALSE,"Temp";#N/A,#N/A,FALSE,"Exce";#N/A,#N/A,FALSE,"Buff";#N/A,#N/A,FALSE,"Picot";#N/A,#N/A,FALSE,"Luftal";#N/A,#N/A,FALSE,"Comt"}</definedName>
    <definedName name="wrn.Continous._.Page._.Numbers._.DCF." localSheetId="25" hidden="1">{#N/A,#N/A,TRUE,"Cover Page";#N/A,#N/A,TRUE,"Assumptions MPM";#N/A,#N/A,TRUE,"Summary Sheet MPM";#N/A,#N/A,TRUE,"Output MPM";#N/A,#N/A,TRUE,"Input MPM";#N/A,#N/A,TRUE,"Assets MPM";#N/A,#N/A,TRUE,"Valuation Summary MPM";#N/A,#N/A,TRUE,"KMK";#N/A,#N/A,TRUE,"Demag";#N/A,#N/A,TRUE,"Van Dorn";#N/A,#N/A,TRUE,"Billion";#N/A,#N/A,TRUE,"Berstorff";#N/A,#N/A,TRUE,"Assumptions Netstal";#N/A,#N/A,TRUE,"Summary Sheet Netstal";#N/A,#N/A,TRUE,"Output Netstal";#N/A,#N/A,TRUE,"Input Netstal";#N/A,#N/A,TRUE,"Assets Netstal";#N/A,#N/A,TRUE,"Valuation Summary Netstal";#N/A,#N/A,TRUE,"Growth Assumpt BUs";#N/A,#N/A,TRUE,"Growth Analysis";#N/A,#N/A,TRUE,"Assumptions MPM ex N";#N/A,#N/A,TRUE,"Summary Sheet MPM ex N";#N/A,#N/A,TRUE,"Output MPM ex N";#N/A,#N/A,TRUE,"Input MPM ex N";#N/A,#N/A,TRUE,"Assets MPM ex N";#N/A,#N/A,TRUE,"Valuation Summary MPM ex N"}</definedName>
    <definedName name="wrn.CONTRACT._.WIP._.1997." localSheetId="25" hidden="1">{#N/A,#N/A,FALSE,"A"}</definedName>
    <definedName name="wrn.Convertible._.Note._.Ledger._.Summary." localSheetId="25" hidden="1">{#N/A,#N/A,FALSE,"Convertible Note Ledger"}</definedName>
    <definedName name="wrn.Cover." localSheetId="25" hidden="1">{"coverall",#N/A,FALSE,"Definitions";"cover1",#N/A,FALSE,"Definitions";"cover2",#N/A,FALSE,"Definitions";"cover3",#N/A,FALSE,"Definitions";"cover4",#N/A,FALSE,"Definitions";"cover5",#N/A,FALSE,"Definitions";"blank",#N/A,FALSE,"Definitions"}</definedName>
    <definedName name="wrn.CumAndAdj." localSheetId="25" hidden="1">{"PL1",#N/A,FALSE,"cum";"PL2a",#N/A,FALSE,"cum";"PL2",#N/A,FALSE,"cum";"PL2b",#N/A,FALSE,"cum";"PL3",#N/A,FALSE,"cum";"PL4",#N/A,FALSE,"cum";"PL5",#N/A,FALSE,"cum";"cumBS2",#N/A,FALSE,"cum";"cumBS3",#N/A,FALSE,"cum";"cumCF",#N/A,FALSE,"cum";"cumFA",#N/A,FALSE,"cum";"adjPL1",#N/A,FALSE,"adj";"adjPL2a",#N/A,FALSE,"adj";"adjPL2",#N/A,FALSE,"adj";"adjPL2b",#N/A,FALSE,"adj";"adjPL3",#N/A,FALSE,"adj";"adjPL4",#N/A,FALSE,"adj";"adjPL5",#N/A,FALSE,"adj";"adjBS2",#N/A,FALSE,"adj";"adjBS3",#N/A,FALSE,"adj";"adjCF1",#N/A,FALSE,"adj";"adjCF4",#N/A,FALSE,"adj"}</definedName>
    <definedName name="wrn.Data._.Worksheet." localSheetId="25" hidden="1">{"Data Worksheet",#N/A,FALSE,"CAREY97"}</definedName>
    <definedName name="wrn.DCF." localSheetId="25" hidden="1">{"DCF1",#N/A,FALSE,"SIERRA DCF";"MATRIX1",#N/A,FALSE,"SIERRA DCF"}</definedName>
    <definedName name="wrn.DCF_Terminal_Value_qchm." localSheetId="25" hidden="1">{"qchm_dcf",#N/A,FALSE,"QCHMDCF2";"qchm_terminal",#N/A,FALSE,"QCHMDCF2"}</definedName>
    <definedName name="wrn.DCFEpervier." localSheetId="25" hidden="1">{#N/A,#N/A,FALSE,"Inc. Statement-DCF";#N/A,#N/A,FALSE,"Assumptions";#N/A,#N/A,FALSE,"Inputs - Sales (KFF)";#N/A,#N/A,FALSE,"Inputs - Margins %";#N/A,#N/A,FALSE,"Inputs - Units";#N/A,#N/A,FALSE,"Output - Prices";#N/A,#N/A,FALSE,"Outputs - Margins (KFF)";#N/A,#N/A,FALSE,"Outputs - Costs";#N/A,#N/A,FALSE,"Outputs - Costs % ";#N/A,#N/A,FALSE,"Output - Units % Inc.";#N/A,#N/A,FALSE,"Output - Sales % Inc";#N/A,#N/A,FALSE,"Output - Prices % Inc.";#N/A,#N/A,FALSE,"WACC"}</definedName>
    <definedName name="wrn.Delchamps." localSheetId="25" hidden="1">{"Operating Data",#N/A,TRUE,"Sheet1";"Valuation Matrix",#N/A,TRUE,"Sheet1";"Sales Analysis",#N/A,TRUE,"Sheet1";"Closed Remodelled New",#N/A,TRUE,"Sheet1";"Competitive and FSP",#N/A,TRUE,"Sheet1";"Working Capital and Capex",#N/A,TRUE,"Sheet1";"depreciation",#N/A,TRUE,"Sheet1"}</definedName>
    <definedName name="wrn.DEN._.PROFIT._.and._.LOSS." localSheetId="25" hidden="1">{#N/A,#N/A,FALSE,"DENP&amp;L97";#N/A,#N/A,FALSE,"DENP&amp;L97"}</definedName>
    <definedName name="wrn.DEPARTMENTS." localSheetId="25" hidden="1">{"OPERATIONS",#N/A,FALSE,"MONTHLY SUMMARY";"CUSTOMER SERVICE",#N/A,FALSE,"MONTHLY SUMMARY";"ENGINEERING",#N/A,FALSE,"MONTHLY SUMMARY";"SALES WEST",#N/A,FALSE,"MONTHLY SUMMARY";"SALES NORTHEAST",#N/A,FALSE,"MONTHLY SUMMARY";"TELCO SALES",#N/A,FALSE,"MONTHLY SUMMARY";"SALES SOUTHEAST",#N/A,FALSE,"MONTHLY SUMMARY";"MARKETING",#N/A,FALSE,"MONTHLY SUMMARY";"QUALITY CONTROL",#N/A,FALSE,"MONTHLY SUMMARY";"PURCHASING",#N/A,FALSE,"MONTHLY SUMMARY"}</definedName>
    <definedName name="wrn.Depreciation." localSheetId="25" hidden="1">{"DE_asfiled",#N/A,TRUE,"Amort.";"IRS_addl",#N/A,TRUE,"Amort."}</definedName>
    <definedName name="wrn.DEPT_ACTUALSvBUDGET." localSheetId="25" hidden="1">{#N/A,#N/A,FALSE,"115";#N/A,#N/A,FALSE,"120";#N/A,#N/A,FALSE,"130";#N/A,#N/A,FALSE,"150";#N/A,#N/A,FALSE,"165";#N/A,#N/A,FALSE,"280";#N/A,#N/A,FALSE,"520";#N/A,#N/A,FALSE,"810";#N/A,#N/A,FALSE,"830";#N/A,#N/A,FALSE,"910"}</definedName>
    <definedName name="wrn.detail." localSheetId="25" hidden="1">{"detail1",#N/A,FALSE,"Sheet1";"detail2",#N/A,FALSE,"Sheet1";"detail3",#N/A,FALSE,"Sheet1";"detail4",#N/A,FALSE,"Sheet1";"detail5",#N/A,FALSE,"Sheet1";"detail6",#N/A,FALSE,"Sheet1";"detail7",#N/A,FALSE,"Sheet1";"detail8",#N/A,FALSE,"Sheet1";"detail9",#N/A,FALSE,"Sheet1"}</definedName>
    <definedName name="wrn.Detail._.Balance._.Sheet." localSheetId="25" hidden="1">{#N/A,#N/A,FALSE,"Detail"}</definedName>
    <definedName name="wrn.Detail_Projection." localSheetId="25" hidden="1">{#N/A,#N/A,FALSE,"Detail YTD"}</definedName>
    <definedName name="wrn.Detailed._.P._.and._.L." localSheetId="25" hidden="1">{"P and L Detail Page 1",#N/A,FALSE,"Data";"P and L Detail Page 2",#N/A,FALSE,"Data"}</definedName>
    <definedName name="wrn.dir." localSheetId="25" hidden="1">{#N/A,#N/A,FALSE,"Dir. Marketing_Summary";#N/A,#N/A,FALSE,"Infolink";#N/A,#N/A,FALSE,"Direct";#N/A,#N/A,FALSE,"Med_Marketing";#N/A,#N/A,FALSE,"Dimac_1";#N/A,#N/A,FALSE,"Dimac_2";#N/A,#N/A,FALSE,"Vantage";#N/A,#N/A,FALSE,"Tomahawk";#N/A,#N/A,FALSE,"BofA";#N/A,#N/A,FALSE,"Epsilon";#N/A,#N/A,FALSE,"Epsilon"}</definedName>
    <definedName name="wrn.Display." localSheetId="25" hidden="1">{"pl",#N/A,FALSE,"Display";"cf",#N/A,FALSE,"Display";"pi",#N/A,FALSE,"Display";"top10",#N/A,FALSE,"Display";"compcon",#N/A,FALSE,"Display"}</definedName>
    <definedName name="wrn.Distribution." localSheetId="25" hidden="1">{#N/A,#N/A,FALSE,"Dist Assets";#N/A,#N/A,FALSE,"Distrib Liab";#N/A,#N/A,FALSE,"Dist Income";#N/A,#N/A,FALSE,"Dist FOH";#N/A,#N/A,FALSE,"Dist SGA"}</definedName>
    <definedName name="wrn.djall." localSheetId="25" hidden="1">{"djcash",#N/A,FALSE,"DJann";"djinc",#N/A,FALSE,"DJann";"djtaxes",#N/A,FALSE,"DJann";"djbuspub",#N/A,FALSE,"DJann";"djwall",#N/A,FALSE,"DJann";"djcompprs",#N/A,FALSE,"DJann";"djteler",#N/A,FALSE,"DJann"}</definedName>
    <definedName name="wrn.document." localSheetId="25" hidden="1">{"consolidated",#N/A,FALSE,"Sheet1";"cms",#N/A,FALSE,"Sheet1";"fse",#N/A,FALSE,"Sheet1"}</definedName>
    <definedName name="wrn.DOLAR." localSheetId="25" hidden="1">{#N/A,#N/A,FALSE,"BALUS$96";#N/A,#N/A,FALSE,"INCUS$96";#N/A,#N/A,FALSE,"CASH96";#N/A,#N/A,FALSE,"FINANC96";#N/A,#N/A,FALSE,"CFLOW96"}</definedName>
    <definedName name="wrn.dontknow"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wrn.dontknow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wrn.Draft." localSheetId="25" hidden="1">{"Draft",#N/A,FALSE,"Feb-96"}</definedName>
    <definedName name="wrn.Earnings._.Model." localSheetId="2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bitda." localSheetId="25" hidden="1">{#N/A,#N/A,FALSE,"2003_Input - P&amp;L"}</definedName>
    <definedName name="wrn.ebitda2" localSheetId="25" hidden="1">{#N/A,#N/A,FALSE,"2003_Input - P&amp;L"}</definedName>
    <definedName name="wrn.Economic._.Value._.Added._.Analysis." localSheetId="25" hidden="1">{"EVA",#N/A,FALSE,"EVA";"WACC",#N/A,FALSE,"WACC"}</definedName>
    <definedName name="wrn.ecpall." localSheetId="25" hidden="1">{"ecpcash",#N/A,FALSE,"ECPann";"ecpinc",#N/A,FALSE,"ECPann";"ecpindia",#N/A,FALSE,"ECPann";"ecpmun",#N/A,FALSE,"ECPann";"ecpphoenix",#N/A,FALSE,"ECPann";"ecpothe",#N/A,FALSE,"ECPann";"ecpbalsht",#N/A,FALSE,"ECPann"}</definedName>
    <definedName name="wrn.Edutainment._.Priority._.List." localSheetId="25" hidden="1">{#N/A,#N/A,FALSE,"DI 2 YEAR MASTER SCHEDULE"}</definedName>
    <definedName name="wrn.ElitePackaging." localSheetId="25" hidden="1">{#N/A,#N/A,FALSE,"Pkg Assets";#N/A,#N/A,FALSE,"Elite Pkg Liab";#N/A,#N/A,FALSE,"Pkg Income";#N/A,#N/A,FALSE,"Pkg FOH";#N/A,#N/A,FALSE,"Pkg SGA"}</definedName>
    <definedName name="wrn.est25yr." localSheetId="25" hidden="1">{#N/A,#N/A,FALSE,"Est97";#N/A,#N/A,FALSE,"Plan98";#N/A,#N/A,FALSE,"Graphs";#N/A,#N/A,FALSE,"5Yr"}</definedName>
    <definedName name="wrn.Europe." localSheetId="25"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xam._.Workpapers._.1." localSheetId="25"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pense._.Report." localSheetId="25" hidden="1">{#N/A,#N/A,FALSE,"EERFACE";#N/A,#N/A,FALSE,"EERBACK"}</definedName>
    <definedName name="wrn.External." localSheetId="25" hidden="1">{"External_Annual_Income",#N/A,FALSE,"External";"External_Quarterly_Income",#N/A,FALSE,"External"}</definedName>
    <definedName name="wrn.FCB." localSheetId="25" hidden="1">{"FCB_ALL",#N/A,FALSE,"FCB"}</definedName>
    <definedName name="wrn.fcb2" localSheetId="25" hidden="1">{"FCB_ALL",#N/A,FALSE,"FCB"}</definedName>
    <definedName name="wrn.Filter." localSheetId="25" hidden="1">{#N/A,#N/A,FALSE,"Assump2";#N/A,#N/A,FALSE,"Income2";#N/A,#N/A,FALSE,"Balance2";#N/A,#N/A,FALSE,"DCF Filter";#N/A,#N/A,FALSE,"Trans Assump2";#N/A,#N/A,FALSE,"Combined Income2";#N/A,#N/A,FALSE,"Combined Balance2"}</definedName>
    <definedName name="wrn.Final." localSheetId="25" hidden="1">{"Final",#N/A,FALSE,"Feb-96"}</definedName>
    <definedName name="wrn.Finals." localSheetId="25" hidden="1">{#N/A,#N/A,FALSE,"Summary";#N/A,#N/A,FALSE,"Process";#N/A,#N/A,FALSE,"Utility";#N/A,#N/A,FALSE,"Crude Tanks";#N/A,#N/A,FALSE,"Product"}</definedName>
    <definedName name="wrn.Financial._.Output." localSheetId="25" hidden="1">{"P and L",#N/A,FALSE,"Financial Output";"Cashflow",#N/A,FALSE,"Financial Output";"Balance Sheet",#N/A,FALSE,"Financial Output"}</definedName>
    <definedName name="wrn.FINANCIAL._.STATEMENTS." localSheetId="25" hidden="1">{"OPERATIONS",#N/A,FALSE,"MONTHLY SUMMARY";"CUSTOMER SERVICE",#N/A,FALSE,"MONTHLY SUMMARY";"ENGINEERING",#N/A,FALSE,"MONTHLY SUMMARY";"SALES WEST",#N/A,FALSE,"MONTHLY SUMMARY";"OPERATIONS EAST",#N/A,FALSE,"MONTHLY SUMMARY";"SALES EAST",#N/A,FALSE,"MONTHLY SUMMARY";"MARKETING",#N/A,FALSE,"MONTHLY SUMMARY";"MARKETING",#N/A,FALSE,"MONTHLY SUMMARY";"QUALITY CONTROL",#N/A,FALSE,"MONTHLY SUMMARY";"PURCHASING",#N/A,FALSE,"MONTHLY SUMMARY"}</definedName>
    <definedName name="wrn.Finanzbedarfsrechnung." localSheetId="25" hidden="1">{#N/A,#N/A,FALSE,"Finanzbedarfsrechnung"}</definedName>
    <definedName name="wrn.first2." localSheetId="25" hidden="1">{#N/A,#N/A,FALSE,"sum-don";#N/A,#N/A,FALSE,"inc-don"}</definedName>
    <definedName name="wrn.first3." localSheetId="25" hidden="1">{#N/A,#N/A,FALSE,"Summary";#N/A,#N/A,FALSE,"proj1";#N/A,#N/A,FALSE,"proj2"}</definedName>
    <definedName name="wrn.first4." localSheetId="25" hidden="1">{#N/A,#N/A,FALSE,"Summary";#N/A,#N/A,FALSE,"proj1";#N/A,#N/A,FALSE,"proj2";#N/A,#N/A,FALSE,"DCF"}</definedName>
    <definedName name="wrn.Five._.Year._.Model." localSheetId="25" hidden="1">{"income statement",#N/A,TRUE,"is";"balance sheet",#N/A,TRUE,"bs";"cashflow",#N/A,TRUE,"cf";"rev summary",#N/A,TRUE,"rev summary";"VAD worldwide",#N/A,TRUE,"VAD (worldwide)";"VAD geog brkdwn",#N/A,TRUE,"VAD (geog breakdown)";"VAD sys wrld wide",#N/A,TRUE,"VADSystem (worldwide)";"VAD sys geog brkdwn",#N/A,TRUE,"VADSystem (geog breakdown)";"VAD sys geog brkdwn 2",#N/A,TRUE,"VADSystem (geog breakdown)";"VAG",#N/A,TRUE,"VAG";"CABG",#N/A,TRUE,"CABG";"milestones",#N/A,TRUE,"milestones";"VAD mkt sum",#N/A,TRUE,"VAD Market Sum";"VAD Mkt WW",#N/A,TRUE,"VAD Mkt (worldwide)";"VAD Mkt geog",#N/A,TRUE,"VAD Mkt (Geog)"}</definedName>
    <definedName name="wrn.FIVE._.YEAR._.PROJECTION." localSheetId="25" hidden="1">{"FIVEYEAR",#N/A,TRUE,"SUMMARY";"FIVEYEAR",#N/A,TRUE,"Ratios";"FIVEYEAR",#N/A,TRUE,"Revenue";"FIVEYEAR",#N/A,TRUE,"DETAIL";"FIVEYEAR",#N/A,TRUE,"Payroll"}</definedName>
    <definedName name="wrn.Five._.Year._.Record." localSheetId="25" hidden="1">{"Five Year Record",#N/A,FALSE,"Front and Back"}</definedName>
    <definedName name="wrn.fleck." localSheetId="25" hidden="1">{"first",#N/A,FALSE,"FLEXPAC2";"second",#N/A,FALSE,"FLEXPAC2"}</definedName>
    <definedName name="wrn.fleckcompac." localSheetId="25" hidden="1">{"one",#N/A,FALSE,"FLEXPAC2";"two",#N/A,FALSE,"FLEXPAC2";"three",#N/A,FALSE,"FLEXPAC2"}</definedName>
    <definedName name="wrn.FN_JE98." localSheetId="25" hidden="1">{"FN_JE98",#N/A,FALSE,"98 W Options"}</definedName>
    <definedName name="wrn.FN_JE99." localSheetId="25" hidden="1">{"FN_JE",#N/A,FALSE,"99 W Options"}</definedName>
    <definedName name="wrn.FORECAST." localSheetId="25" hidden="1">{"COMBINED",#N/A,FALSE,"BALANCE SHEET 2";"KRONE",#N/A,FALSE,"BALANCE SHEET 2";"INTERSYSTEMS",#N/A,FALSE,"BALANCE SHEET 2"}</definedName>
    <definedName name="wrn.Forecast._.Red._.Book." localSheetId="25" hidden="1">{"RB QY $",#N/A,FALSE,"Fin STMT";"RB QY Stats",#N/A,FALSE,"Fin STMT";"RB 00 $",#N/A,FALSE,"Fin STMT";"RB 00 Stats",#N/A,FALSE,"Fin STMT";"RB 01 $",#N/A,FALSE,"Fin STMT";"RB 01 Stats",#N/A,FALSE,"Fin STMT"}</definedName>
    <definedName name="wrn.Forecast._.Report." localSheetId="25" hidden="1">{"Q&amp;A Dollars",#N/A,FALSE,"Fin STMT";"Q&amp;A Stats",#N/A,FALSE,"Fin STMT";"Monthly 1999 IS",#N/A,FALSE,"Months";"Monthly 1999 Stats",#N/A,FALSE,"Months";"Monthly 2000 IS",#N/A,FALSE,"Months";"Monthly 2000 Stats",#N/A,FALSE,"Months";"Monthly 2001 IS",#N/A,FALSE,"Months";"Monthly 2001 Stats",#N/A,FALSE,"Months";"Monthly 2002 IS",#N/A,FALSE,"Months";"Monthly 2002 Stats",#N/A,FALSE,"Months";"Monthly 2003 IS",#N/A,FALSE,"Months";"Monthly 2003 Stats",#N/A,FALSE,"Months"}</definedName>
    <definedName name="wrn.forms." localSheetId="25" hidden="1">{#N/A,#N/A,FALSE,"Set-Up";#N/A,#N/A,FALSE,"Comparison";#N/A,#N/A,FALSE,"AR";#N/A,#N/A,FALSE,"Inv";#N/A,#N/A,FALSE,"Concentrations";#N/A,#N/A,FALSE,"Past Dues";#N/A,#N/A,FALSE,"Trends";#N/A,#N/A,FALSE,"AR Trends";#N/A,#N/A,FALSE,"Inv Trends"}</definedName>
    <definedName name="wrn.FOschedules." localSheetId="25" hidden="1">{"FOschedule1",#N/A,FALSE,"Sheet1";"FOschedule2",#N/A,FALSE,"Sheet1";"FOschedule3",#N/A,FALSE,"Sheet1"}</definedName>
    <definedName name="wrn.Front._.Page." localSheetId="25" hidden="1">{"Front Page",#N/A,FALSE,"Front and Back"}</definedName>
    <definedName name="wrn.Full._.Model." localSheetId="25"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wrn.Full._.Package." localSheetId="25"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Full._.Report." localSheetId="25" hidden="1">{#N/A,#N/A,TRUE,"Income Statement";#N/A,#N/A,TRUE,"Gas Assumptions";#N/A,#N/A,TRUE,"DCF";#N/A,#N/A,TRUE,"Depreciation Matrix";#N/A,#N/A,TRUE,"Matrix";#N/A,#N/A,TRUE,"Matrix_Perpetuity"}</definedName>
    <definedName name="wrn.Full_Analysis_Analyst." localSheetId="25" hidden="1">{#N/A,#N/A,TRUE,"DCF Summary (2)";#N/A,#N/A,TRUE,"DCF Summary";#N/A,"Analyst Value Drivers",TRUE,"DCF"}</definedName>
    <definedName name="wrn.Full_Analysis_Base." localSheetId="25" hidden="1">{#N/A,#N/A,TRUE,"DCF Summary (2)";#N/A,#N/A,TRUE,"DCF Summary";#N/A,"Base Case Value Drivers",TRUE,"DCF"}</definedName>
    <definedName name="wrn.Full_Analysis_Middle." localSheetId="25" hidden="1">{#N/A,#N/A,TRUE,"DCF Summary (2)";#N/A,#N/A,TRUE,"DCF Summary";#N/A,"Middle Case Drivers",TRUE,"DCF"}</definedName>
    <definedName name="wrn.FY01_Fin_Stmts." localSheetId="25" hidden="1">{"FY01_Assets",#N/A,FALSE,"Fin Stmt Budget";"FY01_Liabilities",#N/A,FALSE,"Fin Stmt Budget";"FY01_Inc_Stmt",#N/A,FALSE,"Fin Stmt Budget";"FY01_SOCF",#N/A,FALSE,"Fin Stmt Budget"}</definedName>
    <definedName name="wrn.FY02_Fin_Stmts." localSheetId="25" hidden="1">{"FY02_Assets",#N/A,FALSE,"Fin Stmt Budget";"FY02_Liabilities",#N/A,FALSE,"Fin Stmt Budget";"FY02_Inc_Stmt",#N/A,FALSE,"Fin Stmt Budget";"FY02_SOCF",#N/A,FALSE,"Fin Stmt Budget"}</definedName>
    <definedName name="wrn.FY03_Fin_Stmts." localSheetId="25" hidden="1">{"FY03_Assets",#N/A,FALSE,"Fin Stmt Budget";"FY03_Liabilities",#N/A,FALSE,"Fin Stmt Budget";"FY03_Inc_Stmt",#N/A,FALSE,"Fin Stmt Budget";"FY03_SOCF",#N/A,FALSE,"Fin Stmt Budget"}</definedName>
    <definedName name="wrn.FY04_Fin._.Stmts." localSheetId="25" hidden="1">{"FY04_Assets",#N/A,FALSE,"Fin Stmt Budget";"FY04_Liabilities",#N/A,FALSE,"Fin Stmt Budget";"FY04_Inc_Stmt",#N/A,FALSE,"Fin Stmt Budget";"FY04_SOCF",#N/A,FALSE,"Fin Stmt Budget"}</definedName>
    <definedName name="wrn.FY06" localSheetId="25" hidden="1">{"FY04_Assets",#N/A,FALSE,"Fin Stmt Budget";"FY04_Liabilities",#N/A,FALSE,"Fin Stmt Budget";"FY04_Inc_Stmt",#N/A,FALSE,"Fin Stmt Budget";"FY04_SOCF",#N/A,FALSE,"Fin Stmt Budget"}</definedName>
    <definedName name="wrn.FY07" localSheetId="25" hidden="1">{"FY01_Assets",#N/A,FALSE,"Fin Stmt Budget";"FY01_Liabilities",#N/A,FALSE,"Fin Stmt Budget";"FY01_Inc_Stmt",#N/A,FALSE,"Fin Stmt Budget";"FY01_SOCF",#N/A,FALSE,"Fin Stmt Budget"}</definedName>
    <definedName name="wrn.FY07_fin" localSheetId="25" hidden="1">{"FY04_Assets",#N/A,FALSE,"Fin Stmt Budget";"FY04_Liabilities",#N/A,FALSE,"Fin Stmt Budget";"FY04_Inc_Stmt",#N/A,FALSE,"Fin Stmt Budget";"FY04_SOCF",#N/A,FALSE,"Fin Stmt Budget"}</definedName>
    <definedName name="wrn.FY96sbp99" localSheetId="25" hidden="1">{#N/A,#N/A,FALSE,"FY97";#N/A,#N/A,FALSE,"FY98";#N/A,#N/A,FALSE,"FY99";#N/A,#N/A,FALSE,"FY00";#N/A,#N/A,FALSE,"FY01"}</definedName>
    <definedName name="wrn.FY97SBP." localSheetId="25" hidden="1">{#N/A,#N/A,FALSE,"FY97";#N/A,#N/A,FALSE,"FY98";#N/A,#N/A,FALSE,"FY99";#N/A,#N/A,FALSE,"FY00";#N/A,#N/A,FALSE,"FY01"}</definedName>
    <definedName name="wrn.FY97SBP2" localSheetId="25" hidden="1">{#N/A,#N/A,FALSE,"FY97";#N/A,#N/A,FALSE,"FY98";#N/A,#N/A,FALSE,"FY99";#N/A,#N/A,FALSE,"FY00";#N/A,#N/A,FALSE,"FY01"}</definedName>
    <definedName name="wrn.GCIall." localSheetId="25" hidden="1">{"gcicash",#N/A,FALSE,"GCIINC";"gciinc",#N/A,FALSE,"GCIINC";"gciexclusa",#N/A,FALSE,"GCIINC";"usatdy",#N/A,FALSE,"GCIINC"}</definedName>
    <definedName name="wrn.General._.OTC." localSheetId="25" hidden="1">{#N/A,#N/A,FALSE,"Title Page (3)";#N/A,#N/A,FALSE,"YTD - OTC";#N/A,#N/A,FALSE,"MTH - OTC"}</definedName>
    <definedName name="wrn.General._.Pharm." localSheetId="25" hidden="1">{#N/A,#N/A,FALSE,"Title Page (2)";#N/A,#N/A,FALSE,"YTD - Pharm";#N/A,#N/A,FALSE,"MTH - Pharm"}</definedName>
    <definedName name="wrn.General._.Total." localSheetId="25" hidden="1">{#N/A,#N/A,FALSE,"Title Page (4)";#N/A,#N/A,FALSE,"YTD - Total";#N/A,#N/A,FALSE,"MTH - Total"}</definedName>
    <definedName name="wrn.Geographic._.Trends." localSheetId="25" hidden="1">{"Geographic P1",#N/A,FALSE,"Division &amp; Geog"}</definedName>
    <definedName name="wrn.GRAFICOS." localSheetId="25" hidden="1">{#N/A,#N/A,FALSE,"CAPEX";#N/A,#N/A,FALSE,"NETSALES";#N/A,#N/A,FALSE,"GMSTPP";#N/A,#N/A,FALSE,"GMTOTAL";#N/A,#N/A,FALSE,"FERTIL";#N/A,#N/A,FALSE,"STPP";#N/A,#N/A,FALSE,"CBLACK";#N/A,#N/A,FALSE,"OPERTINCOME"}</definedName>
    <definedName name="wrn.GRAPHS." localSheetId="25" hidden="1">{#N/A,#N/A,FALSE,"ACQ_GRAPHS";#N/A,#N/A,FALSE,"T_1 GRAPHS";#N/A,#N/A,FALSE,"T_2 GRAPHS";#N/A,#N/A,FALSE,"COMB_GRAPHS"}</definedName>
    <definedName name="wrn.Group." localSheetId="25" hidden="1">{#N/A,#N/A,FALSE,"Summary";#N/A,#N/A,FALSE,"Projections";#N/A,#N/A,FALSE,"Debt Schedule";#N/A,#N/A,FALSE,"Mayline Sales Group";#N/A,#N/A,FALSE,"Sales Groups";#N/A,#N/A,FALSE,"Operating Expenses";#N/A,#N/A,FALSE,"Depreciation";#N/A,#N/A,FALSE,"Balance Sheet";#N/A,#N/A,FALSE,"Working Capital";#N/A,#N/A,FALSE,"Addbacks"}</definedName>
    <definedName name="wrn.GuV." localSheetId="25" hidden="1">{#N/A,#N/A,FALSE,"Layout GuV"}</definedName>
    <definedName name="wrn.handout." localSheetId="25" hidden="1">{#N/A,#N/A,FALSE,"Income Statement";#N/A,#N/A,FALSE,"Annual Income Statement";#N/A,#N/A,FALSE,"Balance Sheet";#N/A,#N/A,FALSE,"Cash Flow"}</definedName>
    <definedName name="wrn.Hartcliffe." localSheetId="25" hidden="1">{"pl",#N/A,FALSE,"Hcliffe";"cf",#N/A,FALSE,"Hcliffe";"pi",#N/A,FALSE,"Hcliffe";"top10",#N/A,FALSE,"Hcliffe";"compcon",#N/A,FALSE,"Hcliffe"}</definedName>
    <definedName name="wrn.Headcount._.Worksheet." localSheetId="25" hidden="1">{"Headcount Worksheet",#N/A,FALSE,"HEADCOUNT"}</definedName>
    <definedName name="wrn.Headoff." localSheetId="25" hidden="1">{"empnos",#N/A,FALSE,"Headoff"}</definedName>
    <definedName name="wrn.Heads_96." localSheetId="25" hidden="1">{"heads_96",#N/A,FALSE,"proforma"}</definedName>
    <definedName name="wrn.heads_97." localSheetId="25" hidden="1">{"heads_97",#N/A,FALSE,"proforma"}</definedName>
    <definedName name="wrn.HEAT." localSheetId="25" hidden="1">{#N/A,#N/A,FALSE,"Heat";#N/A,#N/A,FALSE,"DCF";#N/A,#N/A,FALSE,"LBO";#N/A,#N/A,FALSE,"A";#N/A,#N/A,FALSE,"C";#N/A,#N/A,FALSE,"impd";#N/A,#N/A,FALSE,"Accr-Dilu"}</definedName>
    <definedName name="wrn.Hydraulic." localSheetId="25"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wrn.Hydraulic2." localSheetId="25" hidden="1">{#N/A,#N/A,FALSE,"HuscoCombined-Summ";#N/A,#N/A,FALSE,"HuscoCombined-Income";#N/A,#N/A,FALSE,"HuscoCombined-Offering";#N/A,#N/A,FALSE,"Husco-Income";#N/A,#N/A,FALSE,"TargetEngineer";#N/A,#N/A,FALSE,"TargetAcqCalc";#N/A,#N/A,FALSE,"Husco-Acq"}</definedName>
    <definedName name="wrn.IMPRIME." localSheetId="25" hidden="1">{#N/A,#N/A,FALSE,"RESUMO CUB.";#N/A,#N/A,FALSE,"S.SIMPLES PÓ";#N/A,#N/A,FALSE,"S.SIMPLES GR.";#N/A,#N/A,FALSE,"S.S.GR.AMON.";#N/A,#N/A,FALSE,"N.P.K.";#N/A,#N/A,FALSE,"A.S.CHEMIBAU";#N/A,#N/A,FALSE,"A.S.DPG";#N/A,#N/A,FALSE,"A.FOSFÓR.";#N/A,#N/A,FALSE,"A.FLUOSSIL.";#N/A,#N/A,FALSE,"A.S.INDUSTR.";#N/A,#N/A,FALSE,"YOKARIN"}</definedName>
    <definedName name="wrn.imprimir." localSheetId="25" hidden="1">{#N/A,#N/A,FALSE,"BALUS$97";#N/A,#N/A,FALSE,"INCUS$97";#N/A,#N/A,FALSE,"BALR$97";#N/A,#N/A,FALSE,"INCR$97";#N/A,#N/A,FALSE,"STOCKH97";#N/A,#N/A,FALSE,"FINANC97";#N/A,#N/A,FALSE,"CFLOW97"}</definedName>
    <definedName name="wrn.IMPRIMIR._.TODOS." localSheetId="25" hidden="1">{#N/A,#N/A,FALSE,"ATIVO";#N/A,#N/A,FALSE,"PASSIVO";#N/A,#N/A,FALSE,"L&amp;P";#N/A,#N/A,FALSE,"INTEREST"}</definedName>
    <definedName name="wrn.Income._.Statement." localSheetId="25" hidden="1">{#N/A,#N/A,FALSE,"Report Print"}</definedName>
    <definedName name="wrn.indices." localSheetId="25" hidden="1">{#N/A,#N/A,FALSE,"GRAFICO";#N/A,#N/A,FALSE,"INDICE 10%";#N/A,#N/A,FALSE,"INDICE 20%"}</definedName>
    <definedName name="wrn.Infectious._.Diseases." localSheetId="25" hidden="1">{#N/A,#N/A,FALSE,"Anti";#N/A,#N/A,FALSE,"Cefa";#N/A,#N/A,FALSE,"Ceph";#N/A,#N/A,FALSE,"Cefp";#N/A,#N/A,FALSE,"Cefe";#N/A,#N/A,FALSE,"Pens";#N/A,#N/A,FALSE,"Ampi";#N/A,#N/A,FALSE,"Amox";#N/A,#N/A,FALSE,"Isox";#N/A,#N/A,FALSE,"Aztr";#N/A,#N/A,FALSE,"Videx";#N/A,#N/A,FALSE,"Zerit"}</definedName>
    <definedName name="wrn.info." localSheetId="25" hidden="1">{#N/A,#N/A,FALSE,"IT_Summary";#N/A,#N/A,FALSE,"Renaissance";#N/A,#N/A,FALSE,"Intermetrics";#N/A,#N/A,FALSE,"Systems";#N/A,#N/A,FALSE,"IMI";#N/A,#N/A,FALSE,"Landmark";#N/A,#N/A,FALSE,"Rational";#N/A,#N/A,FALSE,"AGS";#N/A,#N/A,FALSE,"GE"}</definedName>
    <definedName name="wrn.input._.and._.output." localSheetId="25" hidden="1">{"EBITDA",#N/A,TRUE,"P&amp;L Net of Disc Ops";"output net of disc ops",#N/A,TRUE,"Revenue";"input",#N/A,TRUE,"Revenue";"output",#N/A,TRUE,"DC";"Input",#N/A,TRUE,"DC";"MTN and MCN",#N/A,TRUE,"Margin";"output detail line items",#N/A,TRUE,"SGA";"personnel by year",#N/A,TRUE,"Payroll";#N/A,#N/A,TRUE,"CapEx"}</definedName>
    <definedName name="wrn.Inputs." localSheetId="25" hidden="1">{"Input1",#N/A,FALSE,"PF";"Input2",#N/A,FALSE,"PF";"Input3",#N/A,FALSE,"PF"}</definedName>
    <definedName name="wrn.Internal." localSheetId="25"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vestment._.Package." localSheetId="25" hidden="1">{#N/A,#N/A,TRUE,"Title Page";"TOC",#N/A,TRUE,"TOC";"Assumptions",#N/A,TRUE,"Assumptions";"Highlights",#N/A,TRUE,"Highlights";"1996 IS-OHS",#N/A,TRUE,"OHS";"1996 IS-VCI",#N/A,TRUE,"VCI";"1996 IS-Cons",#N/A,TRUE,"Consolidated";"1997 IS-OHS",#N/A,TRUE,"OHS";"1997 IS-VCI",#N/A,TRUE,"VCI";"1997 IS-Cons",#N/A,TRUE,"Consolidated";"1998 IS-OHS",#N/A,TRUE,"OHS";"1998 IS-VCI",#N/A,TRUE,"VCI";"1998 IS-Cons",#N/A,TRUE,"Consolidated";"1999 IS-OHS",#N/A,TRUE,"OHS";"1999 IS-VCI",#N/A,TRUE,"VCI";"1999 IS-Cons",#N/A,TRUE,"Consolidated";"1996-99 BS-OHS",#N/A,TRUE,"OHS BS";"1996-99 BS-VCI",#N/A,TRUE,"VCI BS";"1996-99 BS-Cons",#N/A,TRUE,"Consolidated BS"}</definedName>
    <definedName name="wrn.ipovalue." localSheetId="25" hidden="1">{#N/A,#N/A,FALSE,"puboff";#N/A,#N/A,FALSE,"valuation";#N/A,#N/A,FALSE,"finanalsis";#N/A,#N/A,FALSE,"split";#N/A,#N/A,FALSE,"ownership"}</definedName>
    <definedName name="wrn.IS._.Monthly._.US._.At._.Current." localSheetId="25" hidden="1">{"Monthly IS At Current ER",#N/A,FALSE,"Mthly IS"}</definedName>
    <definedName name="wrn.ISCG._.model." localSheetId="25" hidden="1">{#N/A,#N/A,FALSE,"Second";#N/A,#N/A,FALSE,"ownership";#N/A,#N/A,FALSE,"Valuation";#N/A,#N/A,FALSE,"Eqiv";#N/A,#N/A,FALSE,"Mults";#N/A,#N/A,FALSE,"ISCG Graphics"}</definedName>
    <definedName name="wrn.JANI._.REBATES." localSheetId="25" hidden="1">{"TOTAL",#N/A,FALSE,"A";"FISCAL94",#N/A,FALSE,"A";"FISCAL95",#N/A,FALSE,"A";"FISCAL96",#N/A,FALSE,"A";"misc page",#N/A,FALSE,"A"}</definedName>
    <definedName name="wrn.Japan_Capers_Ed._.Pub." localSheetId="25" hidden="1">{"Japan_Capers_Ed_Pub",#N/A,FALSE,"DI 2 YEAR MASTER SCHEDULE"}</definedName>
    <definedName name="wrn.jcbsum." localSheetId="25" hidden="1">{#N/A,#N/A,FALSE,"Finstmts";#N/A,#N/A,FALSE,"Lost Revenue";#N/A,#N/A,FALSE,"Ratios"}</definedName>
    <definedName name="wrn.k" localSheetId="25" hidden="1">{#N/A,#N/A,FALSE,"AD_Purchase";#N/A,#N/A,FALSE,"Credit";#N/A,#N/A,FALSE,"PF Acquisition";#N/A,#N/A,FALSE,"PF Offering"}</definedName>
    <definedName name="wrn.K3._.Annual." localSheetId="25" hidden="1">{"K3Cash",#N/A,FALSE,"Ann";"K3Income",#N/A,FALSE,"Ann";"K3Educ",#N/A,FALSE,"Ann";"K3media",#N/A,FALSE,"Ann";"K3Info",#N/A,FALSE,"Ann";"K3Valuation",#N/A,FALSE,"Ann"}</definedName>
    <definedName name="wrn.K3._.Quarterly." localSheetId="25" hidden="1">{"K3 first",#N/A,FALSE,"Qtr.";"K3 second",#N/A,FALSE,"Qtr.";"K3 Third",#N/A,FALSE,"Qtr.";"K3 Fourth",#N/A,FALSE,"Qtr.";"K3 Full",#N/A,FALSE,"Qtr."}</definedName>
    <definedName name="wrn.Komplettausdruck." localSheetId="25" hidden="1">{#N/A,#N/A,FALSE,"Layout Aktiva";#N/A,#N/A,FALSE,"Layout Passiva";#N/A,#N/A,FALSE,"Layout GuV";#N/A,#N/A,FALSE,"Layout Cash Flow";#N/A,#N/A,FALSE,"Mittelherkunft";#N/A,#N/A,FALSE,"Mittelverwendung";#N/A,#N/A,FALSE,"Finanzbedarfsrechnung"}</definedName>
    <definedName name="wrn.kriall." localSheetId="25" hidden="1">{"kricash",#N/A,FALSE,"INC";"kriinc",#N/A,FALSE,"INC";"krimiami",#N/A,FALSE,"INC";"kriother",#N/A,FALSE,"INC";"kripapers",#N/A,FALSE,"INC"}</definedName>
    <definedName name="wrn.LDM." localSheetId="25" hidden="1">{"MRA IS",#N/A,FALSE,"MRA - IS";"MRA BS",#N/A,FALSE,"MRA - BS";"MRA Detail IS",#N/A,FALSE,"MRA - Detail IS";"MRA Detail IS Supplemental Info",#N/A,FALSE,"MRA - Detail IS";"MRA Monthly 1999",#N/A,FALSE,"MRA Monthly";"MRA Monthly IS 1998",#N/A,FALSE,"MRA Monthly";"MRA Monthly IS 1997",#N/A,FALSE,"MRA Monthly"}</definedName>
    <definedName name="wrn.Limited._.March." localSheetId="25" hidden="1">{#N/A,#N/A,TRUE,"Condensed IS";#N/A,#N/A,TRUE,"Condensed BS";#N/A,#N/A,TRUE,"Outlook";#N/A,#N/A,TRUE,"Condensed CF";#N/A,#N/A,TRUE,"Condensed CF - qtr"}</definedName>
    <definedName name="WRN.LIMITED._APR" localSheetId="25" hidden="1">{#N/A,#N/A,TRUE,"Condensed IS";#N/A,#N/A,TRUE,"Condensed BS";#N/A,#N/A,TRUE,"Outlook";#N/A,#N/A,TRUE,"Condensed CF";#N/A,#N/A,TRUE,"Condensed CF - qtr"}</definedName>
    <definedName name="wrn.LM._.Gear." localSheetId="25" hidden="1">{"LM Gear IS",#N/A,FALSE,"LM Gear - IS";"LM Gear BS",#N/A,FALSE,"LM Gear BS";"LM Gear Detail IS",#N/A,FALSE,"LM Gear - Detail IS";"LM Gear Detail IS Supplemental Info",#N/A,FALSE,"LM Gear - Detail IS";"LM Gear Monthly 1999",#N/A,FALSE,"LM Gear Monthly";"LM Gear Monthly 1998",#N/A,FALSE,"LM Gear Monthly";"LM Gear Monthly 1997",#N/A,FALSE,"LM Gear Monthly"}</definedName>
    <definedName name="wrn.m_cash." localSheetId="25" hidden="1">{"cash_marc",#N/A,FALSE,"dec95cr.xls"}</definedName>
    <definedName name="wrn.Main." localSheetId="25" hidden="1">{#N/A,#N/A,FALSE,"Return";"Summary Inc Stmt",#N/A,FALSE,"IncStmt";#N/A,#N/A,FALSE,"Prod";"Summary Input",#N/A,FALSE,"Input"}</definedName>
    <definedName name="wrn.main2" localSheetId="25" hidden="1">{#N/A,#N/A,FALSE,"Return";"Summary Inc Stmt",#N/A,FALSE,"IncStmt";#N/A,#N/A,FALSE,"Prod";"Summary Input",#N/A,FALSE,"Input"}</definedName>
    <definedName name="wrn.Maine." localSheetId="25" hidden="1">{"Assumptions",#N/A,TRUE,"Assumptions";"Income",#N/A,TRUE,"Income";"Balance",#N/A,TRUE,"Balance"}</definedName>
    <definedName name="wrn.Maine2." localSheetId="25"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wrn.Manuf." localSheetId="25" hidden="1">{"manpl",#N/A,FALSE,"MANUF";"mancf",#N/A,FALSE,"MANUF";"manpi",#N/A,FALSE,"MANUF"}</definedName>
    <definedName name="wrn.Market._.Op._.Exp." localSheetId="25" hidden="1">{#N/A,#N/A,FALSE,"MARKET"}</definedName>
    <definedName name="wrn.Market._.Share._.Report." localSheetId="25"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arket._.Values." localSheetId="25" hidden="1">{#N/A,#N/A,TRUE,"10 Yr Hold";#N/A,#N/A,TRUE,"7 Yr Hold";#N/A,#N/A,TRUE,"5 Yr Hold";#N/A,#N/A,TRUE,"3 Yr Hold"}</definedName>
    <definedName name="wrn.Massimo." localSheetId="25"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wrn.master." localSheetId="25" hidden="1">{#N/A,#N/A,FALSE,"SUMMARY";#N/A,#N/A,FALSE,"mcsh";#N/A,#N/A,FALSE,"vol&amp;rev";#N/A,#N/A,FALSE,"wkgcap";#N/A,#N/A,FALSE,"DEPR&amp;DT";#N/A,#N/A,FALSE,"ASSETS";#N/A,#N/A,FALSE,"NI&amp;OTH&amp;DIV";#N/A,#N/A,FALSE,"CASHFLOW";#N/A,#N/A,FALSE,"CAPEMPL";#N/A,#N/A,FALSE,"ROCE"}</definedName>
    <definedName name="wrn.Master_Income." localSheetId="25" hidden="1">{"Annual_Income",#N/A,FALSE,"Master Model";"Quarterly_Income",#N/A,FALSE,"Master Model"}</definedName>
    <definedName name="wrn.merge." localSheetId="25" hidden="1">{#N/A,#N/A,FALSE,"IPO";#N/A,#N/A,FALSE,"DCF";#N/A,#N/A,FALSE,"LBO";#N/A,#N/A,FALSE,"MULT_VAL";#N/A,#N/A,FALSE,"Status Quo";#N/A,#N/A,FALSE,"Recap"}</definedName>
    <definedName name="wrn.merge.1" localSheetId="25" hidden="1">{#N/A,#N/A,FALSE,"IPO";#N/A,#N/A,FALSE,"DCF";#N/A,#N/A,FALSE,"LBO";#N/A,#N/A,FALSE,"MULT_VAL";#N/A,#N/A,FALSE,"Status Quo";#N/A,#N/A,FALSE,"Recap"}</definedName>
    <definedName name="wrn.Metal._.Systems." localSheetId="25" hidden="1">{"pl",#N/A,FALSE,"MetalSys";"cf",#N/A,FALSE,"MetalSys";"pi",#N/A,FALSE,"MetalSys";"top10",#N/A,FALSE,"MetalSys";"compcon",#N/A,FALSE,"MetalSys"}</definedName>
    <definedName name="wrn.mhpall." localSheetId="25" hidden="1">{"mhpcash",#N/A,FALSE,"MHPNEWX";"mhpinc",#N/A,FALSE,"MHPNEWX";"mhptax",#N/A,FALSE,"MHPNEWX";"mhpbroad",#N/A,FALSE,"MHPNEWX";"mhpeduc",#N/A,FALSE,"MHPNEWX";"mhpfin",#N/A,FALSE,"MHPNEWX";"mhpinfo",#N/A,FALSE,"MHPNEWX"}</definedName>
    <definedName name="wrn.Milestone._.1." localSheetId="25" hidden="1">{"Milestone1 print",#N/A,FALSE,"Milestone1";"Fin Summary print",#N/A,FALSE,"Financial Summary";"Ops Summary print",#N/A,FALSE,"OP's 10k";"Austin Ops print",#N/A,FALSE,"AMF-AUSTIN";"Nashville Ops print",#N/A,FALSE,"AMF- NASHVILLE";"EMF Ops pring",#N/A,FALSE,"EMF Op's";"APCC Ops print",#N/A,FALSE,"APCC Op's";"CCC Ops print",#N/A,FALSE,"CCC Op's";"Brazil Ops print",#N/A,FALSE,"Brazil Op's ";"Brazil Ops print",#N/A,FALSE,"Japan Op's";"Container Loading print",#N/A,FALSE,"Container Loading";"BOM 1",#N/A,FALSE,"BOM 10k"}</definedName>
    <definedName name="wrn.minorco." localSheetId="25" hidden="1">{#N/A,#N/A,FALSE,"EARNINGS";#N/A,#N/A,FALSE,"FINANCIAL";#N/A,#N/A,FALSE,"OPERATIONAL"}</definedName>
    <definedName name="wrn.Model." localSheetId="25" hidden="1">{#N/A,#N/A,FALSE,"Cover";#N/A,#N/A,FALSE,"LUMI";#N/A,#N/A,FALSE,"COMD";#N/A,#N/A,FALSE,"Valuation";#N/A,#N/A,FALSE,"Assumptions";#N/A,#N/A,FALSE,"Pooling";#N/A,#N/A,FALSE,"BalanceSheet"}</definedName>
    <definedName name="wrn.models" localSheetId="25" hidden="1">{#N/A,#N/A,FALSE,"Summary";#N/A,#N/A,FALSE,"Projections";#N/A,#N/A,FALSE,"Mkt Mults";#N/A,#N/A,FALSE,"DCF";#N/A,#N/A,FALSE,"Accr Dil";#N/A,#N/A,FALSE,"PIC LBO";#N/A,#N/A,FALSE,"MULT10_4";#N/A,#N/A,FALSE,"CBI LBO"}</definedName>
    <definedName name="wrn.Monthly._.BS._.At._.Plan._.Exchange." localSheetId="25" hidden="1">{"BS Monthly AT Plan ER",#N/A,FALSE,"Mthly BS"}</definedName>
    <definedName name="wrn.Monthly._.BS._.US._.At._.Current._.ER." localSheetId="25" hidden="1">{"BS Monthly At Current ER",#N/A,FALSE,"Mthly BS"}</definedName>
    <definedName name="wrn.Monthly._.CF._.At._.US._.WA._.ER." localSheetId="25" hidden="1">{"Monthly Cash Flow At WA ER",#N/A,FALSE,"Mthly CF"}</definedName>
    <definedName name="wrn.Monthly._.MIFA._.Sheets." localSheetId="25" hidden="1">{"(MEASDATA) BY QUARTER",#N/A,FALSE,"measdata";"(BS) BALANCE SHEET",#N/A,FALSE,"bs";"(BS) CASH FLOW",#N/A,FALSE,"bs";"(INCST) INCOME STATEMENT",#N/A,FALSE,"incst";"(PROGDETAIL) BY MONTH",#N/A,FALSE,"progdetail";"(PROGDETAIL) BY QTR",#N/A,FALSE,"progdetail";"(ORDERS) GOR ORDERS",#N/A,FALSE,"Orders";"(DELIVERIES) UNIT SALES",#N/A,FALSE,"Deliveries";#N/A,#N/A,FALSE,"Risk&amp;OpprTY"}</definedName>
    <definedName name="wrn.Months._.1999." localSheetId="25" hidden="1">{"Monthly 1999 Stats",#N/A,FALSE,"Months";"Monthly 1999 IS",#N/A,FALSE,"Months"}</definedName>
    <definedName name="wrn.Months._.2000." localSheetId="25" hidden="1">{"Monthly 2000 Stats",#N/A,FALSE,"Months";"Monthly 2000 IS",#N/A,FALSE,"Months"}</definedName>
    <definedName name="wrn.Months._.2001." localSheetId="25" hidden="1">{"Monthly 2001 Stats",#N/A,FALSE,"Months";"Monthly 2001 IS",#N/A,FALSE,"Months"}</definedName>
    <definedName name="wrn.Months._.2002." localSheetId="25" hidden="1">{"Monthly 2002 Stats",#N/A,FALSE,"Months";"Monthly 2002 IS",#N/A,FALSE,"Months"}</definedName>
    <definedName name="wrn.Months._.2003." localSheetId="25" hidden="1">{"Monthly 2003 Stats",#N/A,FALSE,"Months";"Monthly 2003 IS",#N/A,FALSE,"Months"}</definedName>
    <definedName name="wrn.MRA." localSheetId="25" hidden="1">{"MRA IS",#N/A,FALSE,"MRA - IS";"MRA BS",#N/A,FALSE,"MRA - BS";"MRA Detail IS",#N/A,FALSE,"MRA - Detail IS";"MRA Detail IS Supplemental Info",#N/A,FALSE,"MRA - Detail IS";"MRA Monthly 1999",#N/A,FALSE,"MRA Monthly";"MRA Monthly IS 1998",#N/A,FALSE,"MRA Monthly";"MRA Monthly IS 1997",#N/A,FALSE,"MRA Monthly"}</definedName>
    <definedName name="wrn.N.O.L.." localSheetId="25" hidden="1">{#N/A,#N/A,FALSE,"91NOLCB";#N/A,#N/A,FALSE,"92NOLCB";#N/A,#N/A,FALSE,"93NOLCB"}</definedName>
    <definedName name="wrn.new." localSheetId="25" hidden="1">{"new1",#N/A,FALSE,"FLEXPAC2";"new2",#N/A,FALSE,"FLEXPAC2"}</definedName>
    <definedName name="wrn.newest." localSheetId="25" hidden="1">{#N/A,#N/A,TRUE,"TS";#N/A,#N/A,TRUE,"Combo";#N/A,#N/A,TRUE,"FAIR";#N/A,#N/A,TRUE,"RBC";#N/A,#N/A,TRUE,"xxxx"}</definedName>
    <definedName name="wrn.ntfinance." localSheetId="25" hidden="1">{"Rate",#N/A,TRUE,"SUMMARY";"Ratios",#N/A,TRUE,"Ratios";"BUDGETREVENUE",#N/A,TRUE,"Revenue";"TOTALS",#N/A,TRUE,"DETAIL"}</definedName>
    <definedName name="wrn.nytaann." localSheetId="25" hidden="1">{"nytacash",#N/A,FALSE,"GLOBEINC";"nytainc",#N/A,FALSE,"GLOBEINC";"nytanyt",#N/A,FALSE,"GLOBEINC";"nytareg",#N/A,FALSE,"GLOBEINC";"nytaglobe",#N/A,FALSE,"GLOBEINC";"nytapprttl",#N/A,FALSE,"GLOBEINC"}</definedName>
    <definedName name="wrn.O._.and._.I._.Worksheet." localSheetId="25" hidden="1">{#N/A,#N/A,FALSE,"O&amp;I Worksheet"}</definedName>
    <definedName name="wrn.On._.Air._.Op._.Exp." localSheetId="25" hidden="1">{"view1",#N/A,FALSE,"ON AIR"}</definedName>
    <definedName name="wrn.Oncology." localSheetId="25" hidden="1">{#N/A,#N/A,FALSE,"Onco";#N/A,#N/A,FALSE,"Taxol";#N/A,#N/A,FALSE,"UFT";#N/A,#N/A,FALSE,"Carb"}</definedName>
    <definedName name="wrn.ORM." localSheetId="25" hidden="1">{#N/A,#N/A,FALSE,"ORM-1";#N/A,#N/A,FALSE,"ORM-2";"ORM-3",#N/A,FALSE,"FR-2 &amp; ORM-3";#N/A,#N/A,FALSE,"ORM-4";#N/A,#N/A,FALSE,"ORM-5";#N/A,#N/A,FALSE,"ORM-6";#N/A,#N/A,FALSE,"ORM-7";#N/A,#N/A,FALSE,"ORM - 8";#N/A,#N/A,FALSE,"ORM-9-A";#N/A,#N/A,FALSE,"ORM-10-A";#N/A,#N/A,FALSE,"ORM-11-A";#N/A,#N/A,FALSE,"ORM-12-A";#N/A,#N/A,FALSE,"ORM-13-A";#N/A,#N/A,FALSE,"ORM-14-A";#N/A,#N/A,FALSE,"ORM - 15-A";#N/A,#N/A,FALSE,"ORM - 16-A";#N/A,#N/A,FALSE,"ORM - 17-A";#N/A,#N/A,FALSE,"ORM -18-A";#N/A,#N/A,FALSE,"ORM -19-A"}</definedName>
    <definedName name="wrn.OTC._.Market._.Report." localSheetId="25" hidden="1">{#N/A,#N/A,FALSE,"Sales Graph";#N/A,#N/A,FALSE,"BUC Graph";#N/A,#N/A,FALSE,"P&amp;L - YTD"}</definedName>
    <definedName name="wrn.Other._.Pharm." localSheetId="25" hidden="1">{#N/A,#N/A,FALSE,"Other";#N/A,#N/A,FALSE,"Ace";#N/A,#N/A,FALSE,"Derm"}</definedName>
    <definedName name="wrn.p" localSheetId="25" hidden="1">{#N/A,#N/A,FALSE,"1";#N/A,#N/A,FALSE,"2";#N/A,#N/A,FALSE,"16 - 17";#N/A,#N/A,FALSE,"18 - 19";#N/A,#N/A,FALSE,"26";#N/A,#N/A,FALSE,"27";#N/A,#N/A,FALSE,"28"}</definedName>
    <definedName name="wrn.packer._.1." localSheetId="25" hidden="1">{#N/A,#N/A,FALSE,"gopher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name="wrn.PAGE._.1." localSheetId="25" hidden="1">{"PAGE 1",#N/A,FALSE,"WEST_OT"}</definedName>
    <definedName name="wrn.PAGE._.2." localSheetId="25" hidden="1">{"PAGE 2",#N/A,FALSE,"WEST_OT"}</definedName>
    <definedName name="wrn.PAGE._.3." localSheetId="25" hidden="1">{"PAGE 2",#N/A,FALSE,"WEST_OT"}</definedName>
    <definedName name="wrn.Pharm._.Market._.Report." localSheetId="25" hidden="1">{#N/A,#N/A,FALSE,"Sales Graph";#N/A,#N/A,FALSE,"PSBM";#N/A,#N/A,FALSE,"BUC Graph";#N/A,#N/A,FALSE,"P&amp;L - YTD"}</definedName>
    <definedName name="wrn.Pharmaceuticals." localSheetId="25"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L." localSheetId="25" hidden="1">{"20 Years",#N/A,FALSE,"P&amp;Ls";"2001",#N/A,FALSE,"P&amp;Ls"}</definedName>
    <definedName name="wrn.PLFORECAST." localSheetId="25" hidden="1">{"CY",#N/A,FALSE,"FORECAST";"PAYROLL",#N/A,FALSE,"FORECAST";"REC",#N/A,FALSE,"FORECAST";"SALES",#N/A,FALSE,"FORECAST"}</definedName>
    <definedName name="wrn.ppp" localSheetId="25" hidden="1">{#N/A,#N/A,FALSE,"1";#N/A,#N/A,FALSE,"2";#N/A,#N/A,FALSE,"16 - 17";#N/A,#N/A,FALSE,"18 - 19";#N/A,#N/A,FALSE,"26";#N/A,#N/A,FALSE,"27";#N/A,#N/A,FALSE,"28"}</definedName>
    <definedName name="wrn.PRBFinancials." localSheetId="25" hidden="1">{"incomemth",#N/A,TRUE,"forecast01";"incpercentmth",#N/A,TRUE,"forecast01";"balancemth",#N/A,TRUE,"forecast01";"cashmth",#N/A,TRUE,"forecast01";"cov2mth",#N/A,TRUE,"forecast01";"prbexp",#N/A,TRUE,"forecast01";"prbcap",#N/A,TRUE,"forecast01";"coalconsultants",#N/A,TRUE,"forecast01";"prbsum",#N/A,TRUE,"forecast01"}</definedName>
    <definedName name="wrn.Presentation._.Version._.but._.No._.WC._.Slide." localSheetId="25" hidden="1">{"Presentation View",#N/A,TRUE,"Cover";"Presentation View",#N/A,TRUE,"Hilight_YTD";"Presentation View",#N/A,TRUE,"BridgeP";"Presentation View",#N/A,TRUE,"Bridge00";"Presentation View",#N/A,TRUE,"cnsoled_IS";"Presentation View",#N/A,TRUE,"cnsol_incYTD v plan";"Presentation View",#N/A,TRUE,"cnsol_incYTD v PY";"Presentation View",#N/A,TRUE,"Fcst1 qtrly";"Presentation View",#N/A,TRUE,"Fcst1 Qtrly Earnings";"Presentation View",#N/A,TRUE,"AR";"Presentation View",#N/A,TRUE,"INV";"Presentation View",#N/A,TRUE,"Inc Trend";"Presentation View",#N/A,TRUE,"cnsol_inc v p";"Presentation View",#N/A,TRUE,"cnsol_inc v PY";"Presentation View",#N/A,TRUE,"F1 BS";"Presentation View2",#N/A,TRUE,"cash flow";"Presentation View",#N/A,TRUE,"TITLE PF";"Presentation View",#N/A,TRUE,"cnsol_incYTDpf v PYpf";"Presentation View",#N/A,TRUE,"cnsol_inc v PYpf";"Presentation View",#N/A,TRUE,"CapExPF";"Presentation View",#N/A,TRUE,"Major Projects";"Presentation View",#N/A,TRUE,"MAR"}</definedName>
    <definedName name="wrn.prin2._.all." localSheetId="25" hidden="1">{#N/A,#N/A,FALSE,"Pharm";#N/A,#N/A,FALSE,"WWCM"}</definedName>
    <definedName name="wrn.prin3" localSheetId="25" hidden="1">{#N/A,#N/A,FALSE,"Pharm";#N/A,#N/A,FALSE,"WWCM"}</definedName>
    <definedName name="wrn.principais." localSheetId="25" hidden="1">{#N/A,#N/A,FALSE,"AMSA611";#N/A,#N/A,FALSE,"STACFLOW"}</definedName>
    <definedName name="wrn.print" localSheetId="25" hidden="1">{#N/A,#N/A,FALSE,"Pharm";#N/A,#N/A,FALSE,"WWCM"}</definedName>
    <definedName name="wrn.print." localSheetId="25" hidden="1">{"page1",#N/A,FALSE,"PF";"page2",#N/A,FALSE,"PF";"page3",#N/A,FALSE,"PF";"page4",#N/A,FALSE,"Bal_Sht"}</definedName>
    <definedName name="wrn.Print._.4." localSheetId="25" hidden="1">{"Outflow 1",#N/A,FALSE,"Outflows-Inflows";"Outflow 2",#N/A,FALSE,"Outflows-Inflows";"Inflow 1",#N/A,FALSE,"Outflows-Inflows";"Inflow 2",#N/A,FALSE,"Outflows-Inflows"}</definedName>
    <definedName name="wrn.Print._.6." localSheetId="25" hidden="1">{"print 1.6",#N/A,FALSE,"Sheet1";"print 2.6",#N/A,FALSE,"Sheet1";"print 3.6",#N/A,FALSE,"Sheet1";"print 4.6",#N/A,FALSE,"Sheet1";"print 5.6",#N/A,FALSE,"Sheet1";"print 6.6",#N/A,FALSE,"Sheet1"}</definedName>
    <definedName name="wrn.PRINT._.ALL." localSheetId="25" hidden="1">{#N/A,#N/A,FALSE,"Pharm";#N/A,#N/A,FALSE,"WWCM"}</definedName>
    <definedName name="wrn.PRINT._.ALL.2" localSheetId="25" hidden="1">{#N/A,#N/A,FALSE,"Pharm";#N/A,#N/A,FALSE,"WWCM"}</definedName>
    <definedName name="wrn.print._.all2" localSheetId="25" hidden="1">{#N/A,#N/A,FALSE,"Pharm";#N/A,#N/A,FALSE,"WWCM"}</definedName>
    <definedName name="wrn.Print._.Forecast." localSheetId="25" hidden="1">{"2004 Inc For",#N/A,FALSE,"2004 Income-Forecast";"2004 Bal For",#N/A,FALSE,"2004 Bal Sheet Forecast";"2004 Cash For",#N/A,FALSE,"2004 Forecast Cash Flow";"2004 Wells For",#N/A,FALSE,"Wells Fargo Covnts Forecast"}</definedName>
    <definedName name="wrn.PRINT._.FULL." localSheetId="25" hidden="1">{"Page1",#N/A,FALSE,"4YR_PROJ";"Page2",#N/A,FALSE,"EPS IMPACT";"Page3",#N/A,FALSE,"TOPrS";"Page4",#N/A,FALSE,"Shares Matrix";"Page5",#N/A,FALSE,"RAT_CAP";"Page6",#N/A,FALSE,"PRIDES"}</definedName>
    <definedName name="wrn.print._.graphs." localSheetId="25" hidden="1">{"cap_structure",#N/A,FALSE,"Graph-Mkt Cap";"price",#N/A,FALSE,"Graph-Price";"ebit",#N/A,FALSE,"Graph-EBITDA";"ebitda",#N/A,FALSE,"Graph-EBITDA"}</definedName>
    <definedName name="wrn.Print._.It." localSheetId="25" hidden="1">{#N/A,#N/A,TRUE,"base case";#N/A,#N/A,TRUE,"valuation";#N/A,#N/A,TRUE,"sources and uses";#N/A,#N/A,TRUE,"recapitalization";#N/A,#N/A,TRUE,"flowchart";#N/A,#N/A,TRUE,"summary";#N/A,#N/A,TRUE,"sensitivities";#N/A,#N/A,TRUE,"pro forma";#N/A,#N/A,TRUE,"PAC shares"}</definedName>
    <definedName name="wrn.print._.raw._.data._.entry." localSheetId="25" hidden="1">{"inputs raw data",#N/A,TRUE,"INPUT"}</definedName>
    <definedName name="wrn.print._.summary._.sheets." localSheetId="25" hidden="1">{"summary1",#N/A,TRUE,"Comps";"summary2",#N/A,TRUE,"Comps";"summary3",#N/A,TRUE,"Comps"}</definedName>
    <definedName name="wrn.print._all1." localSheetId="25" hidden="1">{#N/A,#N/A,FALSE,"Pharm";#N/A,#N/A,FALSE,"WWCM"}</definedName>
    <definedName name="wrn.print_all." localSheetId="25" hidden="1">{#N/A,#N/A,FALSE,"property";#N/A,#N/A,FALSE,"tenants";#N/A,#N/A,FALSE,"capital";#N/A,#N/A,FALSE,"summary"}</definedName>
    <definedName name="wrn.Print_Buyer." localSheetId="25" hidden="1">{#N/A,"DR",FALSE,"increm pf";#N/A,"MAMSI",FALSE,"increm pf";#N/A,"MAXI",FALSE,"increm pf";#N/A,"PCAM",FALSE,"increm pf";#N/A,"PHSV",FALSE,"increm pf";#N/A,"SIE",FALSE,"increm pf"}</definedName>
    <definedName name="wrn.Print_Target." localSheetId="25"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1." localSheetId="25" hidden="1">{"page1",#N/A,FALSE,"PF";"page2",#N/A,FALSE,"PF";"page3",#N/A,FALSE,"PF";"page4",#N/A,FALSE,"Bal_Sht"}</definedName>
    <definedName name="wrn.print2" localSheetId="25" hidden="1">{#N/A,#N/A,FALSE,"Pharm";#N/A,#N/A,FALSE,"WWCM"}</definedName>
    <definedName name="wrn.PRINT2." localSheetId="25" hidden="1">{"PAGE1",#N/A,FALSE,"ADJMODL";"PAGE2",#N/A,FALSE,"ADJMODL";"PAGE3",#N/A,FALSE,"ADJMODL";"PAGE4",#N/A,FALSE,"ADJMODL";"PAGE5",#N/A,FALSE,"ADJMODL";"PAGE6",#N/A,FALSE,"ADJMODL";"PAGE7",#N/A,FALSE,"ADJMODL";"PAGE8",#N/A,FALSE,"ADJMODL"}</definedName>
    <definedName name="wrn.print3." localSheetId="25" hidden="1">{"PAGE1",#N/A,FALSE,"ADJMODL";"PAGE2",#N/A,FALSE,"ADJMODL";"PAGE3",#N/A,FALSE,"ADJMODL";"PAGE4",#N/A,FALSE,"ADJMODL";"PAGE5",#N/A,FALSE,"ADJMODL";"PAGE6",#N/A,FALSE,"ADJMODL";"PAGE7",#N/A,FALSE,"ADJMODL";"PAGE8",#N/A,FALSE,"ADJMODL"}</definedName>
    <definedName name="wrn.printac." localSheetId="25" hidden="1">{#N/A,#N/A,FALSE,"Op-BS";#N/A,#N/A,FALSE,"Assum";#N/A,#N/A,FALSE,"IS";#N/A,#N/A,FALSE,"Syn+Elim";#N/A,#N/A,FALSE,"BSCF";#N/A,#N/A,FALSE,"Blue_IS";#N/A,#N/A,FALSE,"Blue_BSCF";#N/A,#N/A,FALSE,"Ratings"}</definedName>
    <definedName name="wrn.PrintAll." localSheetId="25" hidden="1">{"PA1",#N/A,FALSE,"BORDMW";"pa2",#N/A,FALSE,"BORDMW";"PA3",#N/A,FALSE,"BORDMW";"PA4",#N/A,FALSE,"BORDMW"}</definedName>
    <definedName name="wrn.printall12monthreports." localSheetId="25" hidden="1">{"printfs",#N/A,TRUE,"FS";"printdues",#N/A,TRUE,"DUES";"printlab",#N/A,TRUE,"LAB";"printsls",#N/A,TRUE,"SLS";"prints1",#N/A,TRUE,"S1";"printceo",#N/A,TRUE,"CEO";"printdepr",#N/A,TRUE,"DEPR";"Printsw",#N/A,TRUE,"SW";"printrtl",#N/A,TRUE,"RTL";"printgst",#N/A,TRUE,"GST";"printinst",#N/A,TRUE,"INST";"printstg",#N/A,TRUE,"STG";"printevts",#N/A,TRUE,"EVTS"}</definedName>
    <definedName name="wrn.printall5." localSheetId="25" hidden="1">{"printceo5",#N/A,FALSE,"CEO";"prints15",#N/A,FALSE,"S1";"printdepr5",#N/A,FALSE,"DEPR"}</definedName>
    <definedName name="wrn.Printfinancialsmth." localSheetId="25" hidden="1">{"incomemth",#N/A,TRUE,"forecast00";"incomepercentmth",#N/A,TRUE,"forecast00";"balancemth",#N/A,TRUE,"forecast00";"cashmth",#N/A,TRUE,"forecast00";"covenantmth",#N/A,TRUE,"forecast00"}</definedName>
    <definedName name="wrn.printout." localSheetId="25" hidden="1">{#N/A,#N/A,FALSE,"BANNERS";#N/A,#N/A,FALSE,"Market";#N/A,#N/A,FALSE,"# of POP MAN";#N/A,#N/A,FALSE,"Penet Input";#N/A,#N/A,FALSE,"Tel Rev";#N/A,#N/A,FALSE,"Invest";#N/A,#N/A,FALSE,"Op Cost1";#N/A,#N/A,FALSE,"Op Cost2";#N/A,#N/A,FALSE,"Oth_&amp;_Tot_Revenues";#N/A,#N/A,FALSE,"Fin Mod";#N/A,#N/A,FALSE,"P&amp;E Burocrat";#N/A,#N/A,FALSE,"cash flow"}</definedName>
    <definedName name="wrn.printqtr." localSheetId="25" hidden="1">{"nytasecond",#N/A,FALSE,"NYTQTRS";"nytafirst",#N/A,FALSE,"NYTQTRS";"nytathird",#N/A,FALSE,"NYTQTRS";"nytafourth",#N/A,FALSE,"NYTQTRS";"nytafull",#N/A,FALSE,"NYTQTRS"}</definedName>
    <definedName name="wrn.PRINTREP." localSheetId="25" hidden="1">{"PRINTREP",#N/A,FALSE,"Sheet1"}</definedName>
    <definedName name="wrn.Priority._.list." localSheetId="25" hidden="1">{#N/A,#N/A,FALSE,"DI 2 YEAR MASTER SCHEDULE"}</definedName>
    <definedName name="wrn.Prjcted._.Mnthly._.Qtys." localSheetId="25" hidden="1">{#N/A,#N/A,FALSE,"PRJCTED MNTHLY QTY's"}</definedName>
    <definedName name="wrn.Prjcted._.Qtrly._.Dollars." localSheetId="25" hidden="1">{#N/A,#N/A,FALSE,"PRJCTED QTRLY $'s"}</definedName>
    <definedName name="wrn.Prjcted._.Qtrly._.Qtys." localSheetId="25" hidden="1">{#N/A,#N/A,FALSE,"PRJCTED QTRLY QTY's"}</definedName>
    <definedName name="wrn.products" localSheetId="25" hidden="1">{#N/A,#N/A,FALSE,"1";#N/A,#N/A,FALSE,"2";#N/A,#N/A,FALSE,"16 - 17";#N/A,#N/A,FALSE,"18 - 19";#N/A,#N/A,FALSE,"26";#N/A,#N/A,FALSE,"27";#N/A,#N/A,FALSE,"28"}</definedName>
    <definedName name="wrn.Products." localSheetId="25" hidden="1">{#N/A,#N/A,FALSE,"1";#N/A,#N/A,FALSE,"2";#N/A,#N/A,FALSE,"16 - 17";#N/A,#N/A,FALSE,"18 - 19";#N/A,#N/A,FALSE,"26";#N/A,#N/A,FALSE,"27";#N/A,#N/A,FALSE,"28"}</definedName>
    <definedName name="wrn.PROJECTIONS." localSheetId="25" hidden="1">{#N/A,#N/A,TRUE,"Statements";#N/A,#N/A,TRUE,"Capital";#N/A,#N/A,TRUE,"TOT Monthly Inc";#N/A,#N/A,TRUE,"TOT REVENUE";#N/A,#N/A,TRUE,"Manpower";#N/A,#N/A,TRUE,"Overheads";#N/A,#N/A,TRUE,"Salary";#N/A,#N/A,TRUE,"Admin";#N/A,#N/A,TRUE,"Barbados";#N/A,#N/A,TRUE,"Product Mktg";#N/A,#N/A,TRUE,"CONS - SI";#N/A,#N/A,TRUE,"PROJECTS";#N/A,#N/A,TRUE,"R&amp;D";#N/A,#N/A,TRUE,"Cons S&amp;M";#N/A,#N/A,TRUE,"Mktg"}</definedName>
    <definedName name="wrn.pror" localSheetId="25" hidden="1">{#N/A,#N/A,FALSE,"Pharm";#N/A,#N/A,FALSE,"WWCM"}</definedName>
    <definedName name="wrn.PROV.IR96." localSheetId="25" hidden="1">{#N/A,#N/A,FALSE,"DEMPROV IR";#N/A,#N/A,FALSE,"INC.FISC";#N/A,#N/A,FALSE,"LUCRO REAL";#N/A,#N/A,FALSE,"L.LIQ.M";#N/A,#N/A,FALSE,"PROV96";#N/A,#N/A,FALSE,"L.LIQU.";#N/A,#N/A,FALSE,"ADIEXCL";#N/A,#N/A,FALSE,"PAT-VT96";#N/A,#N/A,FALSE,"DPO.INC."}</definedName>
    <definedName name="wrn.prov98w._.opt." localSheetId="25" hidden="1">{"provcal",#N/A,FALSE,"99 W Options"}</definedName>
    <definedName name="wrn.provcal99w._.opt." localSheetId="25" hidden="1">{#N/A,#N/A,FALSE,"99 W Options";"prov99w opt",#N/A,FALSE,"99 W Options"}</definedName>
    <definedName name="wrn.Pump." localSheetId="25" hidden="1">{#N/A,#N/A,FALSE,"Assump";#N/A,#N/A,FALSE,"Income";#N/A,#N/A,FALSE,"Balance";#N/A,#N/A,FALSE,"DCF Pump";#N/A,#N/A,FALSE,"Trans Assump";#N/A,#N/A,FALSE,"Combined Income";#N/A,#N/A,FALSE,"Combined Balance"}</definedName>
    <definedName name="wrn.Q198._.Cash._.Flow._.Package." localSheetId="25" hidden="1">{#N/A,#N/A,FALSE,"Top level";#N/A,#N/A,FALSE,"Worksheet - Q1'98";#N/A,#N/A,FALSE,"Detail - Q1'98";#N/A,#N/A,FALSE,"Depreciation"}</definedName>
    <definedName name="wrn.Q3._.Prof._.Serv._.Summary." localSheetId="25" hidden="1">{"Professional Service Summary",#N/A,FALSE,"Q3 Prof Serv"}</definedName>
    <definedName name="wrn.Q3._.Professional._.service._.detail." localSheetId="25" hidden="1">{"Professional Service Detail",#N/A,FALSE,"Q3 Prof Serv"}</definedName>
    <definedName name="wrn.Quarterly._.MIFA._.Sheets." localSheetId="25" hidden="1">{"(MEASDATA) BY QUARTER",#N/A,FALSE,"measdata";"(SEGMENTDETAILS) DATA",#N/A,FALSE,"segmentdetails";"(SEGMENTDETAILS) EXPLANATIONS",#N/A,FALSE,"segmentdetails";"(BS) BALANCE SHEET",#N/A,FALSE,"bs";"(BS) CASH FLOW",#N/A,FALSE,"bs";"(INCST) INCOME STATEMENT",#N/A,FALSE,"incst";"(PROGDETAIL) BY MONTH",#N/A,FALSE,"progdetail";"(PROGDETAIL) BY QTR",#N/A,FALSE,"progdetail";"(ORDERS) GOR ORDERS",#N/A,FALSE,"Orders";"(DELIVERIES) UNIT SALES",#N/A,FALSE,"Deliveries";#N/A,#N/A,FALSE,"QTRComments";#N/A,#N/A,FALSE,"Risk&amp;OpprQtr";#N/A,#N/A,FALSE,"Risk&amp;OpprTY";#N/A,#N/A,FALSE,"divbklgsales"}</definedName>
    <definedName name="wrn.quick." localSheetId="25" hidden="1">{"bsheet",#N/A,FALSE,"TEMPLATE";"income",#N/A,FALSE,"TEMPLATE";"ratios1",#N/A,FALSE,"TEMPLATE";"ratios2",#N/A,FALSE,"TEMPLATE";"cashflow",#N/A,FALSE,"TEMPLATE";"taxes",#N/A,FALSE,"TEMPLATE";"earned",#N/A,FALSE,"TEMPLATE";"GAAP",#N/A,FALSE,"TEMPLATE";"dividends",#N/A,FALSE,"TEMPLATE";"invest1",#N/A,FALSE,"TEMPLATE";"bonds1",#N/A,FALSE,"TEMPLATE";"bonds2",#N/A,FALSE,"TEMPLATE";"reserves1",#N/A,FALSE,"TEMPLATE";"reserves2",#N/A,FALSE,"TEMPLATE";"reserves3",#N/A,FALSE,"TEMPLATE"}</definedName>
    <definedName name="wrn.RE_Form6765." localSheetId="25" hidden="1">{"Form6765",#N/A,TRUE,"KC 11 R&amp;E";"Form6765_Statement",#N/A,TRUE,"KC 11 R&amp;E";"RE_Wages",#N/A,TRUE,"KC 11 R&amp;E";"Form6765_Cost_of_Supplies",#N/A,TRUE,"KC 11 R&amp;E"}</definedName>
    <definedName name="wrn.REAL." localSheetId="25" hidden="1">{#N/A,#N/A,FALSE,"BALR$96";#N/A,#N/A,FALSE,"INCR$96"}</definedName>
    <definedName name="wrn.Recap." localSheetId="25" hidden="1">{"Recap",#N/A,FALSE,"N5TXDP1"}</definedName>
    <definedName name="wrn.Region._.Detail." localSheetId="25" hidden="1">{"Region Detail",#N/A,FALSE,"From Jan 98 Actual [Rev]"}</definedName>
    <definedName name="wrn.Region._.Summary." localSheetId="25" hidden="1">{"Region Summary",#N/A,FALSE,"From Jan 98 Actual [Rev]"}</definedName>
    <definedName name="wrn.RELEVANTSHEETS." localSheetId="25" hidden="1">{#N/A,#N/A,FALSE,"AD_Purch";#N/A,#N/A,FALSE,"Projections";#N/A,#N/A,FALSE,"DCF";#N/A,#N/A,FALSE,"Mkt Val"}</definedName>
    <definedName name="wrn.report." localSheetId="25" hidden="1">{#N/A,#N/A,FALSE,"Temp Staf_Summary";#N/A,#N/A,FALSE,"ATC Services";#N/A,#N/A,FALSE,"Brannon &amp; Tully";#N/A,#N/A,FALSE,"Debbie";#N/A,#N/A,FALSE,"Alternative";#N/A,#N/A,FALSE,"Mid-States";#N/A,#N/A,FALSE,"United Temp."}</definedName>
    <definedName name="wrn.Report._.2." localSheetId="25" hidden="1">{#N/A,#N/A,TRUE,"Pivots-Employee";#N/A,"Scenerio2",TRUE,"Assumptions Summary"}</definedName>
    <definedName name="wrn.REPORT._.C." localSheetId="25" hidden="1">{#N/A,#N/A,TRUE,"Sch-5a";#N/A,#N/A,TRUE,"Sch-5b";#N/A,#N/A,TRUE,"Sch-5c";#N/A,#N/A,TRUE,"Sch-5d";#N/A,#N/A,TRUE,"Sch-6a";#N/A,#N/A,TRUE,"Sch-6b";#N/A,#N/A,TRUE,"Sch-6c";#N/A,#N/A,TRUE,"Sch-6d";#N/A,#N/A,TRUE,"Sch-6e"}</definedName>
    <definedName name="wrn.Report_Page." localSheetId="25" hidden="1">{"Annual_Income",#N/A,FALSE,"Report Page";"Balance_Cash_Flow",#N/A,FALSE,"Report Page";"Quarterly_Income",#N/A,FALSE,"Report Page"}</definedName>
    <definedName name="wrn.Report1." localSheetId="25" hidden="1">{#N/A,#N/A,FALSE,"IS";#N/A,#N/A,FALSE,"BS";#N/A,#N/A,FALSE,"CF";#N/A,#N/A,FALSE,"CE";#N/A,#N/A,FALSE,"Depr";#N/A,#N/A,FALSE,"APAL"}</definedName>
    <definedName name="wrn.reporte." localSheetId="3" hidden="1">{"razones",#N/A,TRUE,"Razones";"balance",#N/A,TRUE,"Balance";"resultados",#N/A,TRUE,"Resultados";"flujo",#N/A,TRUE,"Flujo";"ingresos",#N/A,TRUE,"Ingresos";"costo",#N/A,TRUE,"Costo";"gastos",#N/A,TRUE,"Gastos";"datos",#N/A,TRUE,"Datos";"financieros",#N/A,TRUE,"Financieros"}</definedName>
    <definedName name="wrn.reporte." localSheetId="25" hidden="1">{"razones",#N/A,TRUE,"Razones";"balance",#N/A,TRUE,"Balance";"resultados",#N/A,TRUE,"Resultados";"flujo",#N/A,TRUE,"Flujo";"ingresos",#N/A,TRUE,"Ingresos";"costo",#N/A,TRUE,"Costo";"gastos",#N/A,TRUE,"Gastos";"datos",#N/A,TRUE,"Datos";"financieros",#N/A,TRUE,"Financieros"}</definedName>
    <definedName name="wrn.reporte." localSheetId="2" hidden="1">{"razones",#N/A,TRUE,"Razones";"balance",#N/A,TRUE,"Balance";"resultados",#N/A,TRUE,"Resultados";"flujo",#N/A,TRUE,"Flujo";"ingresos",#N/A,TRUE,"Ingresos";"costo",#N/A,TRUE,"Costo";"gastos",#N/A,TRUE,"Gastos";"datos",#N/A,TRUE,"Datos";"financieros",#N/A,TRUE,"Financieros"}</definedName>
    <definedName name="wrn.reporte." localSheetId="5" hidden="1">{"razones",#N/A,TRUE,"Razones";"balance",#N/A,TRUE,"Balance";"resultados",#N/A,TRUE,"Resultados";"flujo",#N/A,TRUE,"Flujo";"ingresos",#N/A,TRUE,"Ingresos";"costo",#N/A,TRUE,"Costo";"gastos",#N/A,TRUE,"Gastos";"datos",#N/A,TRUE,"Datos";"financieros",#N/A,TRUE,"Financieros"}</definedName>
    <definedName name="wrn.reporte." localSheetId="6" hidden="1">{"razones",#N/A,TRUE,"Razones";"balance",#N/A,TRUE,"Balance";"resultados",#N/A,TRUE,"Resultados";"flujo",#N/A,TRUE,"Flujo";"ingresos",#N/A,TRUE,"Ingresos";"costo",#N/A,TRUE,"Costo";"gastos",#N/A,TRUE,"Gastos";"datos",#N/A,TRUE,"Datos";"financieros",#N/A,TRUE,"Financieros"}</definedName>
    <definedName name="wrn.reporte." localSheetId="4" hidden="1">{"razones",#N/A,TRUE,"Razones";"balance",#N/A,TRUE,"Balance";"resultados",#N/A,TRUE,"Resultados";"flujo",#N/A,TRUE,"Flujo";"ingresos",#N/A,TRUE,"Ingresos";"costo",#N/A,TRUE,"Costo";"gastos",#N/A,TRUE,"Gastos";"datos",#N/A,TRUE,"Datos";"financieros",#N/A,TRUE,"Financieros"}</definedName>
    <definedName name="wrn.Reports._.Only." localSheetId="25" hidden="1">{#N/A,#N/A,FALSE,"Response";#N/A,#N/A,FALSE,"Cover!";#N/A,#N/A,FALSE,"Memo!";#N/A,#N/A,FALSE,"MIS!";#N/A,#N/A,FALSE,"Summary!";#N/A,#N/A,FALSE,"Borrowing Base!";#N/A,#N/A,FALSE,"Footnotes to BB!";#N/A,#N/A,FALSE,"BS!";#N/A,#N/A,FALSE,"BS COMMENTS!";#N/A,#N/A,FALSE,"P&amp;L!";#N/A,#N/A,FALSE,"P&amp;L COMMENTS!";#N/A,#N/A,FALSE,"A-R Agings!";#N/A,#N/A,FALSE,"Past Due Analysis!";#N/A,#N/A,FALSE,"Delinquent AR!";#N/A,#N/A,FALSE,"A-R Stats!";#N/A,#N/A,FALSE,"AR Sample Summary!";#N/A,#N/A,FALSE,"Inventory Composition!";#N/A,#N/A,FALSE,"Inventory Stats!";#N/A,#N/A,FALSE,"Inventory Test Summary!";#N/A,#N/A,FALSE,"Inventory Systems!";#N/A,#N/A,FALSE,"Inventory Accounting!";#N/A,#N/A,FALSE,"A-P Agings!";#N/A,#N/A,FALSE,"Notes Payable!";#N/A,#N/A,FALSE,"A-P &amp; Cash Q&amp;A!"}</definedName>
    <definedName name="wrn.Reports._.to._.EBITDARM." localSheetId="25" hidden="1">{"Q&amp;A Dollars to EBITDARM",#N/A,FALSE,"Fin STMT";"Q&amp;A Stats",#N/A,FALSE,"Fin STMT";"Monthly IS 1999 to EBITDARM",#N/A,FALSE,"Months";"Monthly 1999 Stats",#N/A,FALSE,"Months";"Monthly IS 2000 to EBITDARM",#N/A,FALSE,"Months";"Monthly 2000 Stats",#N/A,FALSE,"Months";"Monthly IS 2001 to EBITDAR",#N/A,FALSE,"Months";"Monthly 2001 Stats",#N/A,FALSE,"Months";"Monthly IS 2002 to EBITDARM",#N/A,FALSE,"Months";"Monthly 2002 Stats",#N/A,FALSE,"Months";"Monthly IS 2003 to EBITDARM",#N/A,FALSE,"Months";"Monthly 2003 Stats",#N/A,FALSE,"Months"}</definedName>
    <definedName name="wrn.Repts._.wo._.IC._.details." localSheetId="25" hidden="1">{#N/A,#N/A,TRUE,"EPS-ROE";#N/A,#N/A,TRUE,"SumrybyCo";"Repts wo IC dtls",#N/A,TRUE,"IS";"Repts wo IC dtls",#N/A,TRUE,"CF";"Repts wo IC dtls",#N/A,TRUE,"BS";"Repts wo IC dtls",#N/A,TRUE,"NonUW";"Inv_calcs",#N/A,TRUE,"calcs"}</definedName>
    <definedName name="wrn.Research._.Op._.Exp." localSheetId="25" hidden="1">{#N/A,#N/A,FALSE,"RESEARCH"}</definedName>
    <definedName name="wrn.RESULTS." localSheetId="25" hidden="1">{#N/A,#N/A,FALSE,"HMF";#N/A,#N/A,FALSE,"FACIL";#N/A,#N/A,FALSE,"HMFINANCE";#N/A,#N/A,FALSE,"HMEUROPE";#N/A,#N/A,FALSE,"HHAB CONSO";#N/A,#N/A,FALSE,"PAB";#N/A,#N/A,FALSE,"MMC";#N/A,#N/A,FALSE,"THAI";#N/A,#N/A,FALSE,"SINPA";#N/A,#N/A,FALSE,"POLAND"}</definedName>
    <definedName name="wrn.Results._.Worksheet." localSheetId="25" hidden="1">{"Results Worksheets",#N/A,FALSE,"RESULTS"}</definedName>
    <definedName name="wrn.Retail." localSheetId="25" hidden="1">{"pl",#N/A,FALSE,"Retail";"cf",#N/A,FALSE,"Retail";"pi",#N/A,FALSE,"Retail";"top10",#N/A,FALSE,"Retail";"compcon",#N/A,FALSE,"Retail"}</definedName>
    <definedName name="wrn.Return._.on._.Capital." localSheetId="25" hidden="1">{"Summary Schedule",#N/A,FALSE,"Sheet1";"Divisional Support",#N/A,FALSE,"Sheet2";"Corporate Support",#N/A,FALSE,"Sheet3"}</definedName>
    <definedName name="wrn.Review._.Schedules." localSheetId="25" hidden="1">{"title",#N/A,FALSE,"Title";"OPL1",#N/A,FALSE,"PL";"OPL1(r)",#N/A,FALSE,"PL";"OPL1(r2)",#N/A,FALSE,"PL";"OPL1(bud)",#N/A,FALSE,"PL";"OpAnal",#N/A,FALSE,"Op";"OPL2a",#N/A,FALSE,"PL";"OPL2",#N/A,FALSE,"PL";"OPL2b",#N/A,FALSE,"PL";"OPL2c",#N/A,FALSE,"PL";"OPL2d",#N/A,FALSE,"PL";"PL_Pd_Act_vs_Bud",#N/A,FALSE,"mth";"Pl_Pd_Act_vs_Fcst",#N/A,FALSE,"mth";"PL_Cum_Act_vs_Bud",#N/A,FALSE,"cum";"PL-Cum_Act_vs_Fcst",#N/A,FALSE,"cum";"Seg01",#N/A,FALSE,"PL";"Seg02",#N/A,FALSE,"PL";"seg01(mth)",#N/A,FALSE,"PL";"seg02(mth)",#N/A,FALSE,"PL";"BS2",#N/A,FALSE,"BS";"BS4",#N/A,FALSE,"BS";"CF1(a)",#N/A,FALSE,"CF";"CF2",#N/A,FALSE,"CF";"CF3",#N/A,FALSE,"CF"}</definedName>
    <definedName name="wrn.sales." localSheetId="25" hidden="1">{"sales",#N/A,FALSE,"Sales";"sales existing",#N/A,FALSE,"Sales";"sales rd1",#N/A,FALSE,"Sales";"sales rd2",#N/A,FALSE,"Sales"}</definedName>
    <definedName name="wrn.sales._.98." localSheetId="25" hidden="1">{"sales all 1998",#N/A,FALSE,"Total 99&amp;98 prelim";"sales 98 wholesale",#N/A,FALSE,"Total 99&amp;98 prelim";"sales 98 capsuleworks",#N/A,FALSE,"Total 99&amp;98 prelim"}</definedName>
    <definedName name="wrn.SalesMarginPages." localSheetId="25" hidden="1">{"(MEASDATA) BY QUARTER",#N/A,FALSE,"measdata";"(PROGDETAIL) BY MONTH",#N/A,FALSE,"progdetail";"(PROGDETAIL) BY QTR",#N/A,FALSE,"progdetail";"(ORDERS) GOR ORDERS",#N/A,FALSE,"Orders";"(DELIVERIES) UNIT SALES",#N/A,FALSE,"Deliveries";"(SEGMENTDETAILS) DATA",#N/A,FALSE,"QTRComments"}</definedName>
    <definedName name="wrn.Scenario._.Summary." localSheetId="25" hidden="1">{#N/A,#N/A,TRUE,"Summary";#N/A,"1",TRUE,"Summary";#N/A,"2",TRUE,"Summary";#N/A,"3",TRUE,"Summary";#N/A,"4",TRUE,"Summary";#N/A,"5",TRUE,"Summary";#N/A,"6",TRUE,"Summary";#N/A,"7",TRUE,"Summary";#N/A,"8",TRUE,"Summary";#N/A,"9",TRUE,"Summary";#N/A,"10",TRUE,"Summary";#N/A,"11",TRUE,"Summary"}</definedName>
    <definedName name="wrn.schedules." localSheetId="25" hidden="1">{"schedule1",#N/A,FALSE,"Sheet1";"schedule2",#N/A,FALSE,"Sheet1";"schedule3",#N/A,FALSE,"Sheet1";"schedule4",#N/A,FALSE,"Sheet1";"schedule5",#N/A,FALSE,"Sheet1";"schedule6",#N/A,FALSE,"Sheet1"}</definedName>
    <definedName name="wrn.sens." localSheetId="25" hidden="1">{"sens1\",#N/A,FALSE,"PF";"sens2",#N/A,FALSE,"PF";"sens3",#N/A,FALSE,"PF";"sens4",#N/A,FALSE,"PF"}</definedName>
    <definedName name="wrn.SHSUBINT." localSheetId="25" hidden="1">{#N/A,#N/A,FALSE,"allocation"}</definedName>
    <definedName name="wrn.SOCIEDAD." localSheetId="25" hidden="1">{#N/A,#N/A,FALSE,"SYSOC";#N/A,#N/A,FALSE,"RESU-GESTION";#N/A,#N/A,FALSE,"EVOL-MNA";#N/A,#N/A,FALSE,"VTAS-ANALI";#N/A,#N/A,FALSE,"ANALI-GSFIJOS";#N/A,#N/A,FALSE,"DETA-RUBROS";#N/A,#N/A,FALSE,"ANALI-CNF";#N/A,#N/A,FALSE,"BILAN";#N/A,#N/A,FALSE,"TAB_FIN";#N/A,#N/A,FALSE,"IND_ECO"}</definedName>
    <definedName name="wrn.sspall." localSheetId="25" hidden="1">{"sspcash",#N/A,FALSE,"EWSINCX";"sspinc",#N/A,FALSE,"EWSINCX";"ssptax",#N/A,FALSE,"EWSINCX";"ssppub",#N/A,FALSE,"EWSINCX";"sspperchgetc",#N/A,FALSE,"EWSINCX";"sspevan",#N/A,FALSE,"EWSINCX";"sspbroad",#N/A,FALSE,"EWSINCX";"sspbroadcont",#N/A,FALSE,"EWSINCX";"sspcable",#N/A,FALSE,"EWSINCX";"sspent",#N/A,FALSE,"EWSINCX"}</definedName>
    <definedName name="wrn.STAND_ALONE_BOTH." localSheetId="25" hidden="1">{"FCB_ALL",#N/A,FALSE,"FCB";"GREY_ALL",#N/A,FALSE,"GREY"}</definedName>
    <definedName name="wrn.STETSON." localSheetId="25"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ummaries." localSheetId="25" hidden="1">{#N/A,#N/A,FALSE,"YTD SALES";#N/A,#N/A,FALSE,"MONTH SALES";#N/A,#N/A,FALSE,"YTD PROFIT";#N/A,#N/A,FALSE,"MONTH PROFIT";#N/A,#N/A,FALSE,"MONTH PROFIT %";#N/A,#N/A,FALSE,"YTD AWARDS";#N/A,#N/A,FALSE,"MONTH AWARDS";#N/A,#N/A,FALSE,"FUNDED BACKLOG";#N/A,#N/A,FALSE,"CONTRACT BACKLOG";#N/A,#N/A,FALSE,"CONTRACT AWARDS";#N/A,#N/A,FALSE,"CONTRACT VALUES";#N/A,#N/A,FALSE,"YTD WIP";#N/A,#N/A,FALSE,"MONTH WIP";#N/A,#N/A,FALSE,"GROSS INVENTORY";#N/A,#N/A,FALSE,"PP";#N/A,#N/A,FALSE,"NET INVENTORY";#N/A,#N/A,FALSE,"RECEIVABLES"}</definedName>
    <definedName name="wrn.SUMMARY." localSheetId="25" hidden="1">{"SUMMARY",#N/A,FALSE,"Summary"}</definedName>
    <definedName name="wrn.summaryANDbackup." localSheetId="25" hidden="1">{#N/A,#N/A,FALSE,"Prem_Sum";#N/A,#N/A,FALSE,"Prem"}</definedName>
    <definedName name="wrn.Survey." localSheetId="25" hidden="1">{#N/A,#N/A,FALSE,"Response";#N/A,#N/A,FALSE,"Cover!";#N/A,#N/A,FALSE,"Memo!";#N/A,#N/A,FALSE,"MIS!";#N/A,#N/A,FALSE,"Summary!";#N/A,#N/A,FALSE,"Borrowing Base!";#N/A,#N/A,FALSE,"Footnotes to BB!";#N/A,#N/A,FALSE,"BS!";#N/A,#N/A,FALSE,"BS COMMENTS!";#N/A,#N/A,FALSE,"P&amp;L!";#N/A,#N/A,FALSE,"P&amp;L COMMENTS!";#N/A,#N/A,FALSE,"A-R Agings!";#N/A,#N/A,FALSE,"Past Due Analysis!";#N/A,#N/A,FALSE,"Delinquent AR!";#N/A,#N/A,FALSE,"A-R Stats!";#N/A,#N/A,FALSE,"AR Sample Summary!";#N/A,#N/A,FALSE,"Inventory Composition!";#N/A,#N/A,FALSE,"Inventory Stats!";#N/A,#N/A,FALSE,"Inventory Test Summary!";#N/A,#N/A,FALSE,"Inventory Systems!";#N/A,#N/A,FALSE,"Inventory Accounting!";#N/A,#N/A,FALSE,"A-P Agings!";#N/A,#N/A,FALSE,"Notes Payable!";#N/A,#N/A,FALSE,"A-P &amp; Cash Q&amp;A!";#N/A,#N/A,FALSE,"A-R Q&amp;A - WP";#N/A,#N/A,FALSE,"Inv Q&amp;A - WP";#N/A,#N/A,FALSE,"Collateral Reconciliations - WP";#N/A,#N/A,FALSE,"BBC Analysis - WP";#N/A,#N/A,FALSE,"ARAGING HISTORY - WP";#N/A,#N/A,FALSE,"A-R INELIGIBLES - TTL - WP";#N/A,#N/A,FALSE,"A-R INELIGIBLES (2) - WP";#N/A,#N/A,FALSE,"Proof of Delivery - WP";#N/A,#N/A,FALSE,"ARForeign - WP";#N/A,#N/A,FALSE,"CR Memo - WP";#N/A,#N/A,FALSE,"Inv Test - WP";#N/A,#N/A,FALSE,"GP TEST - WP";#N/A,#N/A,FALSE,"AP TEST - WP";#N/A,#N/A,FALSE,"Cash Activity - WP";#N/A,#N/A,FALSE,"Cash Remittance - WP";#N/A,#N/A,FALSE,"BANK LIST - WP";#N/A,#N/A,FALSE,"CANCELLED CKS - WP";#N/A,#N/A,FALSE,"Tax1 - WP";#N/A,#N/A,FALSE,"Tax 2 - WP"}</definedName>
    <definedName name="wrn.t_cash." localSheetId="25" hidden="1">{"cash_tes",#N/A,FALSE,"dec95cr.xls"}</definedName>
    <definedName name="wrn.TARGET._.DCF." localSheetId="25" hidden="1">{"targetdcf",#N/A,FALSE,"Merger consequences";"TARGETASSU",#N/A,FALSE,"Merger consequences";"TERMINAL VALUE",#N/A,FALSE,"Merger consequences"}</definedName>
    <definedName name="wrn.tel2." localSheetId="25" hidden="1">{#N/A,#N/A,FALSE,"FS_Summary";#N/A,#N/A,FALSE,"Tel_Summary";#N/A,#N/A,FALSE,"Tomahawk";#N/A,#N/A,FALSE,"Medical Marketing";#N/A,#N/A,FALSE,"DIMAC";#N/A,#N/A,FALSE,"Epsilon";#N/A,#N/A,FALSE,"Direct";#N/A,#N/A,FALSE,"DIMAC(2)"}</definedName>
    <definedName name="wrn.TELCO." localSheetId="25" hidden="1">{#N/A,#N/A,FALSE,"TEL Monthly Inc";#N/A,#N/A,FALSE,"TEL REVENUE";#N/A,#N/A,FALSE,"Tel - Manpower";#N/A,#N/A,FALSE,"Tel Sales Support";#N/A,#N/A,FALSE,"SI - TELCO";#N/A,#N/A,FALSE,"Sales - Telco";#N/A,#N/A,FALSE,"Tel - Mktg";#N/A,#N/A,FALSE,"Tel - Mktg"}</definedName>
    <definedName name="wrn.telem." localSheetId="25" hidden="1">{#N/A,#N/A,FALSE,"FS_Summary";#N/A,#N/A,FALSE,"Tomahawk";#N/A,#N/A,FALSE,"Medical Marketing";#N/A,#N/A,FALSE,"Epsilon";#N/A,#N/A,FALSE,"DIMAC";#N/A,#N/A,FALSE,"Direct";#N/A,#N/A,FALSE,"DIMAC(2)"}</definedName>
    <definedName name="wrn.Test." localSheetId="25" hidden="1">{#N/A,#N/A,FALSE,"Availability";#N/A,#N/A,FALSE,"Loan Stats";#N/A,#N/A,FALSE,"Clltrl Ln Smmry";#N/A,#N/A,FALSE,"AR Stats";#N/A,#N/A,FALSE,"AR Sum";#N/A,#N/A,FALSE,"Recs";#N/A,#N/A,FALSE,"Ship,CM Rev"}</definedName>
    <definedName name="wrn.TheWholeEnchilada." localSheetId="25" hidden="1">{"CSheet",#N/A,FALSE,"C";"SmCap",#N/A,FALSE,"VAL1";"GulfCoast",#N/A,FALSE,"VAL1";"nav",#N/A,FALSE,"NAV";"Summary",#N/A,FALSE,"NAV"}</definedName>
    <definedName name="wrn.Tier._.1." localSheetId="25" hidden="1">{#N/A,#N/A,TRUE,"segqtr"}</definedName>
    <definedName name="wrn.TMCALL." localSheetId="25" hidden="1">{"tmccash",#N/A,FALSE,"INCX";"tmcinc",#N/A,FALSE,"INCX";"tmcpretx",#N/A,FALSE,"INCX";"tmcadrev",#N/A,FALSE,"INCX";"tmcbooks",#N/A,FALSE,"INCX"}</definedName>
    <definedName name="wrn.todos." localSheetId="25" hidden="1">{#N/A,#N/A,FALSE,"AMSA611";#N/A,#N/A,FALSE,"STACFLOW";#N/A,#N/A,FALSE,"Page1";#N/A,#N/A,FALSE,"Page2";#N/A,#N/A,FALSE,"Page3";#N/A,#N/A,FALSE,"Page4";#N/A,#N/A,FALSE,"Page5";#N/A,#N/A,FALSE,"Page6";#N/A,#N/A,FALSE,"Page7";#N/A,#N/A,FALSE,"Page8";#N/A,#N/A,FALSE,"Page9";#N/A,#N/A,FALSE,"Page10";#N/A,#N/A,FALSE,"Page11"}</definedName>
    <definedName name="wrn.TOOL." localSheetId="25"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wrn.Total." localSheetId="25" hidden="1">{#N/A,#N/A,FALSE,"Trans-Sum";#N/A,#N/A,FALSE,"Accr-Dilu2";#N/A,#N/A,FALSE,"Contribution";#N/A,#N/A,FALSE,"Combined";#N/A,#N/A,FALSE,"ASTF";#N/A,#N/A,FALSE,"BRA";#N/A,#N/A,FALSE,"Bra_C";#N/A,#N/A,FALSE,"AcqMults";#N/A,#N/A,FALSE,"CompMults";#N/A,#N/A,FALSE,"DCF";#N/A,#N/A,FALSE,"WACC";#N/A,#N/A,FALSE,"LBO";#N/A,#N/A,FALSE,"Summary";#N/A,#N/A,FALSE,"StructSum"}</definedName>
    <definedName name="wrn.Total._.Business." localSheetId="25"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Market._.Report." localSheetId="25" hidden="1">{#N/A,#N/A,FALSE,"Sales Graph";#N/A,#N/A,FALSE,"BUC Graph";#N/A,#N/A,FALSE,"P&amp;L - YTD"}</definedName>
    <definedName name="wrn.Total._.Report." localSheetId="25" hidden="1">{#N/A,#N/A,FALSE,"Attachment I";#N/A,#N/A,FALSE,"Portfolio reconciliation - 1";#N/A,#N/A,FALSE,"Overall Risk-2";#N/A,#N/A,FALSE,"Overall Scenario-3";#N/A,#N/A,FALSE,"Active Portfolio - 4";#N/A,#N/A,FALSE,"Active Risk-5";#N/A,#N/A,FALSE,"FI Segment - 6";#N/A,#N/A,FALSE,"EQ Segment - 7";#N/A,#N/A,FALSE,"Alt segment - 8";#N/A,#N/A,FALSE,"Deposits - 9";#N/A,#N/A,FALSE,"Strategic - 10";#N/A,#N/A,FALSE,"Structured - 11";#N/A,#N/A,FALSE,"Structured - 12"}</definedName>
    <definedName name="wrn.total._.year." localSheetId="25" hidden="1">{#N/A,#N/A,FALSE,"2003_Input - P&amp;L"}</definedName>
    <definedName name="wrn.Tout._.Sauf._.BG." localSheetId="25"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rans._.Op._.Exp." localSheetId="25" hidden="1">{#N/A,#N/A,FALSE,"TRANS"}</definedName>
    <definedName name="wrn.TransPrcd_123." localSheetId="25" hidden="1">{#N/A,#N/A,TRUE,"TransPrcd 1";#N/A,#N/A,TRUE,"TransPrcd 2";#N/A,#N/A,TRUE,"TransPrcd 3"}</definedName>
    <definedName name="wrn.trball." localSheetId="25" hidden="1">{"trbcash",#N/A,FALSE,"INCPF";"trbinc",#N/A,FALSE,"INCPF";"trbchic",#N/A,FALSE,"INCPF";"trbadrev",#N/A,FALSE,"INCPF";"trbstns",#N/A,FALSE,"INCPF";"trbtvstns",#N/A,FALSE,"INCPF"}</definedName>
    <definedName name="wrn.Tycon._.Model." localSheetId="25" hidden="1">{"rtn",#N/A,FALSE,"RTN";"tables",#N/A,FALSE,"RTN";"cf",#N/A,FALSE,"CF";"stats",#N/A,FALSE,"Stats";"prop",#N/A,FALSE,"Prop"}</definedName>
    <definedName name="wrn.Typhoon." localSheetId="25" hidden="1">{"Agg Output",#N/A,FALSE,"Operational Drivers Output";"NW Output",#N/A,FALSE,"Operational Drivers Output";"South Output",#N/A,FALSE,"Operational Drivers Output";"Central Output",#N/A,FALSE,"Operational Drivers Output"}</definedName>
    <definedName name="wrn.upstairs." localSheetId="25" hidden="1">{"histincome",#N/A,FALSE,"hyfins";"closing balance",#N/A,FALSE,"hyfins"}</definedName>
    <definedName name="wrn.USR." localSheetId="25" hidden="1">{#N/A,#N/A,FALSE,"TopTen Failures";#N/A,#N/A,FALSE,"Top Ten %";#N/A,#N/A,FALSE,"Fail Code 5 mo. Totals (%)"}</definedName>
    <definedName name="wrn.USW." localSheetId="25" hidden="1">{"IS",#N/A,FALSE,"IS";"RPTIS",#N/A,FALSE,"RPTIS";"STATS",#N/A,FALSE,"STATS";"BS",#N/A,FALSE,"BS"}</definedName>
    <definedName name="wrn.UTILITIES." localSheetId="25" hidden="1">{#N/A,#N/A,FALSE,"UTIL Monthly Inc ";#N/A,#N/A,FALSE,"Capital";#N/A,#N/A,FALSE,"UTIL REVENUE";#N/A,#N/A,FALSE,"RM REVENUE";#N/A,#N/A,FALSE,"Manpower";#N/A,#N/A,FALSE,"SI - UTIL";#N/A,#N/A,FALSE,"Sales - Utili"}</definedName>
    <definedName name="wrn.Utility._.Accrual." localSheetId="25" hidden="1">{"Balt Util Water",#N/A,TRUE,"UTIL";"Balt Util Elect",#N/A,TRUE,"UTIL";"Balt Util JE",#N/A,TRUE,"UTIL"}</definedName>
    <definedName name="wrn.VALUATION." localSheetId="25" hidden="1">{#N/A,#N/A,FALSE,"Pooling";#N/A,#N/A,FALSE,"income";#N/A,#N/A,FALSE,"valuation"}</definedName>
    <definedName name="wrn.Wacc." localSheetId="25" hidden="1">{"Area1",#N/A,FALSE,"OREWACC";"Area2",#N/A,FALSE,"OREWACC"}</definedName>
    <definedName name="wrn.WATERTOWN._.BUDGET." localSheetId="25" hidden="1">{#N/A,#N/A,TRUE,"Inc. St.";#N/A,#N/A,TRUE,"SalesLabor";#N/A,#N/A,TRUE,"Labor";#N/A,#N/A,TRUE,"TEMP.";#N/A,#N/A,TRUE,"Manuf.";#N/A,#N/A,TRUE,"Repairs";#N/A,#N/A,TRUE,"G&amp;A";#N/A,#N/A,TRUE,"Inv.";#N/A,#N/A,TRUE,"Cap.X";#N/A,#N/A,TRUE,"Leases"}</definedName>
    <definedName name="wrn.Western._.Metal." localSheetId="25" hidden="1">{#N/A,#N/A,FALSE,"Western";#N/A,#N/A,FALSE,"Inc. St.";#N/A,#N/A,FALSE,"Hist.";#N/A,#N/A,FALSE,"SalesLabor";#N/A,#N/A,FALSE,"Labor";#N/A,#N/A,FALSE,"Manuf.";#N/A,#N/A,FALSE,"Repairs";#N/A,#N/A,FALSE,"G&amp;A";#N/A,#N/A,FALSE,"Inv.";#N/A,#N/A,FALSE,"Cap. X"}</definedName>
    <definedName name="wrn.wicor." localSheetId="25" hidden="1">{#N/A,#N/A,FALSE,"FACTSHEETS";#N/A,#N/A,FALSE,"pump";#N/A,#N/A,FALSE,"filter"}</definedName>
    <definedName name="wrn.Working._.Version." localSheetId="25" hidden="1">{"Working View with Notes2",#N/A,TRUE,"Hilight_YTD";"Working View with Notes2",#N/A,TRUE,"BridgeP";"Working View with Notes2",#N/A,TRUE,"Bridge00";"Working View with Notes2",#N/A,TRUE,"cnsoled_IS";"Working View with Notes2",#N/A,TRUE,"cnsol_incYTD v plan";"Working View with Notes2",#N/A,TRUE,"cnsol_incYTD v PY";"Working View with Notes2",#N/A,TRUE,"Fcst1 qtrly";"Working View with Notes2",#N/A,TRUE,"Fcst1 Qtrly Earnings";"Working View with Notes2",#N/A,TRUE,"AR";"Working View with Notes2",#N/A,TRUE,"INV";"Working View with Notes2",#N/A,TRUE,"Inc Trend";"Working View with Notes2",#N/A,TRUE,"cnsol_inc v p";"Working View with Notes2",#N/A,TRUE,"cnsol_inc v PY";"Working View with Notes2",#N/A,TRUE,"F1 BS";"Working View with Notes2",#N/A,TRUE,"cash flow";"Working View with Notes2",#N/A,TRUE,"TITLE PF";"Working View with Notes2",#N/A,TRUE,"cnsol_incYTDpf v PYpf";"Working View with Notes2",#N/A,TRUE,"cnsol_inc v PYpf";"Working View with Notes2",#N/A,TRUE,"CapExPF";"Working View with Notes2",#N/A,TRUE,"Major Projects";"Working View with Notes2",#N/A,TRUE,"MAR"}</definedName>
    <definedName name="wrn.Workpapers._.Only." localSheetId="25" hidden="1">{#N/A,#N/A,FALSE,"A-R Q&amp;A - WP";#N/A,#N/A,FALSE,"Inv Q&amp;A - WP";#N/A,#N/A,FALSE,"Collateral Reconciliations - WP";#N/A,#N/A,FALSE,"BBC Analysis - WP";#N/A,#N/A,FALSE,"ARAGING HISTORY - WP";#N/A,#N/A,FALSE,"A-R INELIGIBLES - TTL - WP";#N/A,#N/A,FALSE,"A-R INELIGIBLES (2) - WP";#N/A,#N/A,FALSE,"Proof of Delivery - WP";#N/A,#N/A,FALSE,"ARForeign - WP";#N/A,#N/A,FALSE,"CR Memo - WP";#N/A,#N/A,FALSE,"Inv Test - WP";#N/A,#N/A,FALSE,"GP TEST - WP";#N/A,#N/A,FALSE,"AP TEST - WP";#N/A,#N/A,FALSE,"Cash Activity - WP";#N/A,#N/A,FALSE,"BANK LIST - WP";#N/A,#N/A,FALSE,"CANCELLED CKS - WP";#N/A,#N/A,FALSE,"Tax1 - WP";#N/A,#N/A,FALSE,"Tax 2 - WP"}</definedName>
    <definedName name="wrn.WPAPERS." localSheetId="25" hidden="1">{#N/A,#N/A,FALSE,"ATIVO";#N/A,#N/A,FALSE,"PASSIVO";#N/A,#N/A,FALSE,"L&amp;P";#N/A,#N/A,FALSE,"INTEREST";#N/A,#N/A,FALSE,"IRDIFERIDO"}</definedName>
    <definedName name="wrn.wpoall." localSheetId="25" hidden="1">{"wpocash",#N/A,FALSE,"WPOALLT";"wpoinc",#N/A,FALSE,"WPOALLT";"wpoexcl",#N/A,FALSE,"WPOALLT";"wpocable",#N/A,FALSE,"WPOALLT";"wpobroad",#N/A,FALSE,"WPOALLT";"wpopost",#N/A,FALSE,"WPOALLT";"wponwsweek",#N/A,FALSE,"WPOALLT"}</definedName>
    <definedName name="wrn.xrates." localSheetId="25" hidden="1">{#N/A,#N/A,FALSE,"1996";#N/A,#N/A,FALSE,"1995";#N/A,#N/A,FALSE,"1994"}</definedName>
    <definedName name="wrn.xx." localSheetId="25" hidden="1">{"sarhist",#N/A,FALSE,"Sheet2";"sarhist",#N/A,FALSE,"Sheet2"}</definedName>
    <definedName name="wrn.YTS._.Business._.Plan._.0796."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wrn.YTS._.Business._.Plan._.07962" localSheetId="25"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wrn.YTS._.Business._.Plan._.0896"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wrn.YTS._.Business._.Plan._.0896."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wrn.YTS._.Business._.Plan._.0996."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wrn.YTS._.Business._.Plan._.09962" localSheetId="25"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wrn.מאזן_בוחן_כללי." localSheetId="25" hidden="1">{#N/A,#N/A,FALSE,"מאזן בוחן";"כל_מאזן_בוחן",#N/A,FALSE,"מאזן בוחן"}</definedName>
    <definedName name="wrn.סעיפי_מאזן_בוחן." localSheetId="25"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wrn_eva" localSheetId="25" hidden="1">{"EVA",#N/A,FALSE,"EVA";"WACC",#N/A,FALSE,"WACC"}</definedName>
    <definedName name="wrn3.ALL." localSheetId="25" hidden="1">{#N/A,#N/A,FALSE,"DCF";#N/A,#N/A,FALSE,"WACC";#N/A,#N/A,FALSE,"Sales_EBIT";#N/A,#N/A,FALSE,"Capex_Depreciation";#N/A,#N/A,FALSE,"WC";#N/A,#N/A,FALSE,"Interest";#N/A,#N/A,FALSE,"Assumptions"}</definedName>
    <definedName name="wrna.prod" localSheetId="25" hidden="1">{#N/A,#N/A,FALSE,"1";#N/A,#N/A,FALSE,"2";#N/A,#N/A,FALSE,"16 - 17";#N/A,#N/A,FALSE,"18 - 19";#N/A,#N/A,FALSE,"26";#N/A,#N/A,FALSE,"27";#N/A,#N/A,FALSE,"28"}</definedName>
    <definedName name="wrnE" localSheetId="2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fullmodel" localSheetId="25"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wrnfy97" localSheetId="25" hidden="1">{#N/A,#N/A,FALSE,"FY97";#N/A,#N/A,FALSE,"FY98";#N/A,#N/A,FALSE,"FY99";#N/A,#N/A,FALSE,"FY00";#N/A,#N/A,FALSE,"FY01"}</definedName>
    <definedName name="WRR" localSheetId="25" hidden="1">{#N/A,#N/A,FALSE,"Pharm";#N/A,#N/A,FALSE,"WWCM"}</definedName>
    <definedName name="wrrrrr" localSheetId="25" hidden="1">{#N/A,#N/A,FALSE,"REPORT"}</definedName>
    <definedName name="WSER" localSheetId="25" hidden="1">{#N/A,#N/A,FALSE,"Aging Summary";#N/A,#N/A,FALSE,"Ratio Analysis";#N/A,#N/A,FALSE,"Test 120 Day Accts";#N/A,#N/A,FALSE,"Tickmarks"}</definedName>
    <definedName name="wsn.orm." localSheetId="25" hidden="1">{#N/A,#N/A,FALSE,"ORM-1";#N/A,#N/A,FALSE,"ORM-2";"ORM-3",#N/A,FALSE,"FR-2 &amp; ORM-3";#N/A,#N/A,FALSE,"ORM-4";#N/A,#N/A,FALSE,"ORM-5";#N/A,#N/A,FALSE,"ORM-6";#N/A,#N/A,FALSE,"ORM-7";#N/A,#N/A,FALSE,"ORM - 8";#N/A,#N/A,FALSE,"ORM-9-A";#N/A,#N/A,FALSE,"ORM-10-A";#N/A,#N/A,FALSE,"ORM-11-A";#N/A,#N/A,FALSE,"ORM-12-A";#N/A,#N/A,FALSE,"ORM-13-A";#N/A,#N/A,FALSE,"ORM-14-A";#N/A,#N/A,FALSE,"ORM - 15-A";#N/A,#N/A,FALSE,"ORM - 16-A";#N/A,#N/A,FALSE,"ORM - 17-A";#N/A,#N/A,FALSE,"ORM -18-A";#N/A,#N/A,FALSE,"ORM -19-A"}</definedName>
    <definedName name="wt" localSheetId="25" hidden="1">{#N/A,#N/A,FALSE,"FY97";#N/A,#N/A,FALSE,"FY98";#N/A,#N/A,FALSE,"FY99";#N/A,#N/A,FALSE,"FY00";#N/A,#N/A,FALSE,"FY01"}</definedName>
    <definedName name="wtx" localSheetId="25"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wv" localSheetId="25" hidden="1">{#N/A,#N/A,FALSE,"Pharm";#N/A,#N/A,FALSE,"WWCM"}</definedName>
    <definedName name="wvu.CapersView." localSheetId="2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sh." localSheetId="25" hidden="1">{TRUE,TRUE,-1.25,-15.5,456.75,279.75,FALSE,FALSE,TRUE,TRUE,0,1,18,1,199,6,3,4,TRUE,TRUE,3,TRUE,1,TRUE,100,"Swvu.cash.","ACwvu.cash.",1,FALSE,FALSE,0.511811023622047,0.511811023622047,0.511811023622047,0.511811023622047,1,"","",FALSE,FALSE,FALSE,FALSE,1,#N/A,1,1,#DIV/0!,FALSE,"Rwvu.cash.",#N/A,FALSE,FALSE}</definedName>
    <definedName name="wvu.inputs._.raw._.data." localSheetId="25" hidden="1">{TRUE,TRUE,-1.25,-15.5,604.5,369,FALSE,FALSE,TRUE,TRUE,0,1,83,1,38,4,5,4,TRUE,TRUE,3,TRUE,1,TRUE,75,"Swvu.inputs._.raw._.data.","ACwvu.inputs._.raw._.data.",#N/A,FALSE,FALSE,0.5,0.5,0.5,0.5,2,"&amp;F","&amp;A&amp;RPage &amp;P",FALSE,FALSE,FALSE,FALSE,1,60,#N/A,#N/A,"=R1C61:R53C89","=C1:C5",#N/A,#N/A,FALSE,FALSE,FALSE,1,600,600,FALSE,FALSE,TRUE,TRUE,TRUE}</definedName>
    <definedName name="wvu.Japan_Capers_Ed_Pub." localSheetId="2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2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profits." localSheetId="25" hidden="1">{TRUE,TRUE,-1.25,-15.5,456.75,279.75,FALSE,FALSE,TRUE,TRUE,0,1,21,1,127,6,3,4,TRUE,TRUE,3,TRUE,1,TRUE,100,"Swvu.profits.","ACwvu.profits.",1,FALSE,FALSE,0.511811023622047,0.511811023622047,0.511811023622047,0.511811023622047,1,"","",FALSE,FALSE,FALSE,FALSE,1,#N/A,1,1,#DIV/0!,FALSE,"Rwvu.profits.",#N/A,FALSE,FALSE}</definedName>
    <definedName name="wvu.summary1." localSheetId="2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25"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25"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turnover." localSheetId="25" hidden="1">{TRUE,TRUE,-1.25,-15.5,456.75,279.75,FALSE,FALSE,TRUE,TRUE,0,1,8,1,4,6,3,4,TRUE,TRUE,3,TRUE,1,TRUE,100,"Swvu.turnover.","ACwvu.turnover.",1,FALSE,FALSE,0.511811023622047,0.511811023622047,0.511811023622047,0.511811023622047,1,"","",FALSE,FALSE,FALSE,FALSE,1,#N/A,1,1,#DIV/0!,FALSE,"Rwvu.turnover.",#N/A,FALSE,FALSE}</definedName>
    <definedName name="ww" localSheetId="25" hidden="1">{#N/A,#N/A,FALSE,"Pharm";#N/A,#N/A,FALSE,"WWCM"}</definedName>
    <definedName name="WWSP" localSheetId="25" hidden="1">{#N/A,#N/A,FALSE,"SUMMARY";#N/A,#N/A,FALSE,"TECHNOLOGY";#N/A,#N/A,FALSE,"YEAR2000";#N/A,#N/A,FALSE,"GENERAL SERVICES";#N/A,#N/A,FALSE,"PROD MANAGE";#N/A,#N/A,FALSE,"BOG";#N/A,#N/A,FALSE,"PROT CONT";#N/A,#N/A,FALSE,"INVEST COMP"}</definedName>
    <definedName name="www" localSheetId="25" hidden="1">{#N/A,#N/A,FALSE,"Bakersfield PCs";#N/A,#N/A,FALSE,"Bremer PCs";#N/A,#N/A,FALSE,"Bakersfield Notebooks"}</definedName>
    <definedName name="wx" localSheetId="25" hidden="1">{#N/A,#N/A,FALSE,"Pharm";#N/A,#N/A,FALSE,"WWCM"}</definedName>
    <definedName name="wyh" localSheetId="25" hidden="1">{#N/A,#N/A,FALSE,"Summary";#N/A,#N/A,FALSE,"Fed.State Prov";#N/A,#N/A,FALSE,"Foreign Prov";#N/A,#N/A,FALSE,"Thera Fgrn";#N/A,#N/A,FALSE,"CCD Fgrn";#N/A,#N/A,FALSE,"Biocine Fgrn";#N/A,#N/A,FALSE,"Vision Fgrn";#N/A,#N/A,FALSE,"Frgn vs Dom"}</definedName>
    <definedName name="xcv" localSheetId="25" hidden="1">{#N/A,#N/A,FALSE,"Pharm";#N/A,#N/A,FALSE,"WWCM"}</definedName>
    <definedName name="xcxzc" localSheetId="25" hidden="1">{#N/A,#N/A,FALSE,"AD_Purchase";#N/A,#N/A,FALSE,"Credit";#N/A,#N/A,FALSE,"PF Acquisition";#N/A,#N/A,FALSE,"PF Offering"}</definedName>
    <definedName name="XFDG" localSheetId="25" hidden="1">{TRUE,TRUE,-1.25,-15.5,456.75,279.75,FALSE,FALSE,TRUE,TRUE,0,1,18,1,199,6,3,4,TRUE,TRUE,3,TRUE,1,TRUE,100,"Swvu.cash.","ACwvu.cash.",1,FALSE,FALSE,0.511811023622047,0.511811023622047,0.511811023622047,0.511811023622047,1,"","",FALSE,FALSE,FALSE,FALSE,1,#N/A,1,1,#DIV/0!,FALSE,"Rwvu.cash.",#N/A,FALSE,FALSE}</definedName>
    <definedName name="xxx" localSheetId="25" hidden="1">{#N/A,#N/A,FALSE,"assump";#N/A,#N/A,FALSE,"open";#N/A,#N/A,FALSE,"bs";#N/A,#N/A,FALSE,"is";#N/A,#N/A,FALSE,"cf"}</definedName>
    <definedName name="xxxxx" localSheetId="25" hidden="1">{#N/A,#N/A,FALSE,"Pharm";#N/A,#N/A,FALSE,"WWCM"}</definedName>
    <definedName name="xxxxxx" localSheetId="25" hidden="1">{#N/A,#N/A,FALSE,"Aging Summary";#N/A,#N/A,FALSE,"Ratio Analysis";#N/A,#N/A,FALSE,"Test 120 Day Accts";#N/A,#N/A,FALSE,"Tickmarks"}</definedName>
    <definedName name="xxxxxxx" localSheetId="25" hidden="1">{#N/A,#N/A,FALSE,"Aging Summary";#N/A,#N/A,FALSE,"Ratio Analysis";#N/A,#N/A,FALSE,"Test 120 Day Accts";#N/A,#N/A,FALSE,"Tickmarks"}</definedName>
    <definedName name="xxxxxxxxxxxxx" localSheetId="25" hidden="1">{#N/A,#N/A,FALSE,"Aging Summary";#N/A,#N/A,FALSE,"Ratio Analysis";#N/A,#N/A,FALSE,"Test 120 Day Accts";#N/A,#N/A,FALSE,"Tickmarks"}</definedName>
    <definedName name="xzf" localSheetId="25" hidden="1">{"incomemth",#N/A,TRUE,"forecast01";"incpercentmth",#N/A,TRUE,"forecast01";"balancemth",#N/A,TRUE,"forecast01";"cashmth",#N/A,TRUE,"forecast01";"cov2mth",#N/A,TRUE,"forecast01";"prbexp",#N/A,TRUE,"forecast01";"prbcap",#N/A,TRUE,"forecast01";"coalconsultants",#N/A,TRUE,"forecast01";"prbsum",#N/A,TRUE,"forecast01"}</definedName>
    <definedName name="yes" localSheetId="25" hidden="1">{"PAGE 1",#N/A,FALSE,"WEST_OT"}</definedName>
    <definedName name="ygjv" localSheetId="25" hidden="1">{"cap_structure",#N/A,FALSE,"Graph-Mkt Cap";"price",#N/A,FALSE,"Graph-Price";"ebit",#N/A,FALSE,"Graph-EBITDA";"ebitda",#N/A,FALSE,"Graph-EBITDA"}</definedName>
    <definedName name="yh" localSheetId="25" hidden="1">{"Data Worksheet",#N/A,FALSE,"CAREY97"}</definedName>
    <definedName name="yhn" localSheetId="25" hidden="1">{#N/A,#N/A,FALSE,"TS";#N/A,#N/A,FALSE,"Combo";#N/A,#N/A,FALSE,"FAIR";#N/A,#N/A,FALSE,"RBC";#N/A,#N/A,FALSE,"xxxx";#N/A,#N/A,FALSE,"A_D";#N/A,#N/A,FALSE,"WACC";#N/A,#N/A,FALSE,"DCF";#N/A,#N/A,FALSE,"LBO";#N/A,#N/A,FALSE,"AcqMults";#N/A,#N/A,FALSE,"CompMults"}</definedName>
    <definedName name="yjhgj" localSheetId="25"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Yo" localSheetId="25" hidden="1">{#N/A,#N/A,FALSE,"3mos";#N/A,#N/A,FALSE,"dedicated"}</definedName>
    <definedName name="yrd" localSheetId="25" hidden="1">{"PAGE 1",#N/A,FALSE,"WEST_OT"}</definedName>
    <definedName name="yu" localSheetId="25" hidden="1">{#N/A,#N/A,FALSE,"Projections";#N/A,#N/A,FALSE,"AccrDil";#N/A,#N/A,FALSE,"PurchPriMult";#N/A,#N/A,FALSE,"Mults7_13";#N/A,#N/A,FALSE,"Mkt Mults";#N/A,#N/A,FALSE,"Acq Mults";#N/A,#N/A,FALSE,"StockPrices";#N/A,#N/A,FALSE,"Prem Paid";#N/A,#N/A,FALSE,"DCF";#N/A,#N/A,FALSE,"AUTO";#N/A,#N/A,FALSE,"Relative Trading";#N/A,#N/A,FALSE,"Mkt Val";#N/A,#N/A,FALSE,"Acq Val"}</definedName>
    <definedName name="yy" localSheetId="25" hidden="1">{#N/A,#N/A,TRUE,"SUMMARY";#N/A,#N/A,TRUE,"TECHNOLOGY";#N/A,#N/A,TRUE,"YEAR2000";#N/A,#N/A,TRUE,"GENERAL SERVICES";#N/A,#N/A,TRUE,"BOG";#N/A,#N/A,TRUE,"PROD MANAGE";#N/A,#N/A,TRUE,"PROT CONT";#N/A,#N/A,TRUE,"INVEST COMP";#N/A,#N/A,TRUE,"WORLDWIDE SEC";#N/A,#N/A,TRUE,"BNY FINANCIAL";#N/A,#N/A,TRUE,"INTL BANKING";#N/A,#N/A,TRUE,"RETAIL BANKING";#N/A,#N/A,TRUE,"TRUST &amp; INV";#N/A,#N/A,TRUE,"WWASSET&amp;L";#N/A,#N/A,TRUE,"CORP.BK SECTORS";#N/A,#N/A,TRUE,"CREDIT POLICY";#N/A,#N/A,TRUE,"FINANCIAL SECT";#N/A,#N/A,TRUE,"GENADMIN"}</definedName>
    <definedName name="YYY" localSheetId="25" hidden="1">{#N/A,#N/A,FALSE,"assump";#N/A,#N/A,FALSE,"open";#N/A,#N/A,FALSE,"bs";#N/A,#N/A,FALSE,"is";#N/A,#N/A,FALSE,"cf"}</definedName>
    <definedName name="yyyy" localSheetId="25" hidden="1">{#N/A,#N/A,FALSE,"Bakersfield PCs";#N/A,#N/A,FALSE,"Bremer PCs";#N/A,#N/A,FALSE,"Bakersfield Notebooks"}</definedName>
    <definedName name="yyyyw" localSheetId="25" hidden="1">{#N/A,#N/A,FALSE,"Bakersfield PCs";#N/A,#N/A,FALSE,"Bremer PCs";#N/A,#N/A,FALSE,"Bakersfield Notebooks"}</definedName>
    <definedName name="z" localSheetId="25" hidden="1">{#N/A,#N/A,FALSE,"Projections";#N/A,#N/A,FALSE,"Multiples Valuation";#N/A,#N/A,FALSE,"LBO";#N/A,#N/A,FALSE,"Multiples_Sensitivity";#N/A,#N/A,FALSE,"Summary"}</definedName>
    <definedName name="zaCQW" localSheetId="25" hidden="1">{"turnover",#N/A,FALSE;"profits",#N/A,FALSE;"cash",#N/A,FALSE}</definedName>
    <definedName name="zaq" localSheetId="25" hidden="1">{#N/A,#N/A,FALSE,"Calc";#N/A,#N/A,FALSE,"Sensitivity";#N/A,#N/A,FALSE,"LT Earn.Dil.";#N/A,#N/A,FALSE,"Dil. AVP"}</definedName>
    <definedName name="zcvqa" localSheetId="25" hidden="1">{#N/A,#N/A,FALSE,"AD_Purchase";#N/A,#N/A,FALSE,"Credit";#N/A,#N/A,FALSE,"PF Acquisition";#N/A,#N/A,FALSE,"PF Offering"}</definedName>
    <definedName name="zcvzaa" localSheetId="25" hidden="1">{#N/A,#N/A,FALSE,"Debt Accr";#N/A,#N/A,FALSE,"Stock Accr";#N/A,#N/A,FALSE,"Debt Stock Accr"}</definedName>
    <definedName name="zcxzxva" localSheetId="25" hidden="1">{#N/A,#N/A,FALSE,"HuscoCombined-Summ";#N/A,#N/A,FALSE,"HuscoCombined-Income";#N/A,#N/A,FALSE,"HuscoCombined-Offering";#N/A,#N/A,FALSE,"Husco-Income";#N/A,#N/A,FALSE,"TargetEngineer";#N/A,#N/A,FALSE,"TargetAcqCalc";#N/A,#N/A,FALSE,"Husco-Acq"}</definedName>
    <definedName name="zer" localSheetId="25" hidden="1">{#N/A,#N/A,FALSE,"Calc";#N/A,#N/A,FALSE,"Sensitivity";#N/A,#N/A,FALSE,"LT Earn.Dil.";#N/A,#N/A,FALSE,"Dil. AVP"}</definedName>
    <definedName name="zhu" localSheetId="25" hidden="1">{#N/A,#N/A,FALSE,"REPORT"}</definedName>
    <definedName name="zhutr" localSheetId="25" hidden="1">{#N/A,#N/A,FALSE,"REPORT"}</definedName>
    <definedName name="zPack" localSheetId="25" hidden="1">{"Sch00",#N/A,FALSE,"1";"Contents",#N/A,FALSE,"1";"Sch01",#N/A,FALSE,"2";"Sch02",#N/A,FALSE,"2";"Sch03",#N/A,FALSE,"2";"Sch04",#N/A,FALSE,"2";"Sch05",#N/A,FALSE,"2";"Sch06",#N/A,FALSE,"2";"Sch07",#N/A,FALSE,"3";"Sch08",#N/A,FALSE,"3";"Sch09",#N/A,FALSE,"3";"Sch10",#N/A,FALSE,"3";"Sch11",#N/A,FALSE,"3";"Sch12",#N/A,FALSE,"3";"Sch13",#N/A,FALSE,"3";"Sch14a",#N/A,FALSE,"3";"Sch14b",#N/A,FALSE,"3";"Sch15a",#N/A,FALSE,"3";"Sch15b",#N/A,FALSE,"3";"Sch16",#N/A,FALSE,"3";"Sch17",#N/A,FALSE,"2";"Sch18",#N/A,FALSE,"3";"Sch19",#N/A,FALSE,"2";"Sch20",#N/A,FALSE,"2";"Sch21",#N/A,FALSE,"2";"Sch22",#N/A,FALSE,"3";"Sch23",#N/A,FALSE,"3";"Sch24",#N/A,FALSE,"3";"Sch25",#N/A,FALSE,"3";"Sch26",#N/A,FALSE,"2";"Sch27",#N/A,FALSE,"3";"Sch28",#N/A,FALSE,"3";"Sch29",#N/A,FALSE,"3";"Sch30",#N/A,FALSE,"3"}</definedName>
    <definedName name="zscz" localSheetId="25" hidden="1">{#N/A,#N/A,FALSE,"Pooling";#N/A,#N/A,FALSE,"income";#N/A,#N/A,FALSE,"valuation"}</definedName>
    <definedName name="ZSZ" localSheetId="25"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tax" localSheetId="25" hidden="1">{"Tax01a",#N/A,FALSE,"4";"Tax01b",#N/A,FALSE,"4";"Tax02",#N/A,FALSE,"4";"Tax03",#N/A,FALSE,"4";"Tax04",#N/A,FALSE,"4";"Tax05",#N/A,FALSE,"4";"Tax06",#N/A,FALSE,"4";"Tax07",#N/A,FALSE,"4";"Tax08",#N/A,FALSE,"4";"Tax09",#N/A,FALSE,"4";"Tax10",#N/A,FALSE,"4";"Tax11",#N/A,FALSE,"4";"Tax12",#N/A,FALSE,"4";"Tax13",#N/A,FALSE,"4";"Tax14",#N/A,FALSE,"4";"Tax15",#N/A,FALSE,"4";"Tax16",#N/A,FALSE,"4";"Tax17",#N/A,FALSE,"4";"Tax18",#N/A,FALSE,"4"}</definedName>
    <definedName name="zx" localSheetId="25" hidden="1">{#N/A,#N/A,FALSE,"AD_Purchase";#N/A,#N/A,FALSE,"Credit";#N/A,#N/A,FALSE,"PF Acquisition";#N/A,#N/A,FALSE,"PF Offering"}</definedName>
    <definedName name="zxcc" localSheetId="25" hidden="1">{#N/A,#N/A,FALSE,"Projections";#N/A,#N/A,FALSE,"Contribution_Stock";#N/A,#N/A,FALSE,"PF_Combo_Stock";#N/A,#N/A,FALSE,"Projections";#N/A,#N/A,FALSE,"Contribution_Cash";#N/A,#N/A,FALSE,"PF_Combo_Cash";#N/A,#N/A,FALSE,"IPO_Cash"}</definedName>
    <definedName name="zza4pg" localSheetId="25" hidden="1">{#N/A,#N/A,FALSE,"REPORT"}</definedName>
    <definedName name="zzee" localSheetId="25" hidden="1">{#N/A,#N/A,FALSE,"Pharm";#N/A,#N/A,FALSE,"WWCM"}</definedName>
    <definedName name="ZZZ" localSheetId="25" hidden="1">{#N/A,#N/A,FALSE,"assump";#N/A,#N/A,FALSE,"open";#N/A,#N/A,FALSE,"bs";#N/A,#N/A,FALSE,"is";#N/A,#N/A,FALSE,"cf"}</definedName>
    <definedName name="zzzzz" localSheetId="25" hidden="1">{#N/A,#N/A,FALSE,"REPORT"}</definedName>
    <definedName name="אאא" localSheetId="25" hidden="1">{#N/A,#N/A,FALSE,"מאזן בוחן";"כל_מאזן_בוחן",#N/A,FALSE,"מאזן בוחן"}</definedName>
    <definedName name="אאא1" localSheetId="25" hidden="1">{#N/A,#N/A,FALSE,"מאזן בוחן";"כל_מאזן_בוחן",#N/A,FALSE,"מאזן בוחן"}</definedName>
    <definedName name="בככ" localSheetId="25"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1" localSheetId="25"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מאזן_בוחן_כללי_1" localSheetId="25" hidden="1">{#N/A,#N/A,FALSE,"מאזן בוחן";"כל_מאזן_בוחן",#N/A,FALSE,"מאזן בוחן"}</definedName>
    <definedName name="מאזן_בוחן_כללי1" localSheetId="25" hidden="1">{#N/A,#N/A,FALSE,"מאזן בוחן";"כל_מאזן_בוחן",#N/A,FALSE,"מאזן בוחן"}</definedName>
    <definedName name="סעיפי_מאזן_בוחן_1" localSheetId="25"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고" localSheetId="25" hidden="1">{#N/A,#N/A,FALSE,"REPORT"}</definedName>
    <definedName name="ㄶㅇ노ㅗㄶ호" localSheetId="25" hidden="1">{#N/A,#N/A,FALSE,"REPORT"}</definedName>
    <definedName name="미애" localSheetId="25" hidden="1">{#N/A,#N/A,FALSE,"REPORT"}</definedName>
  </definedNames>
  <calcPr calcId="191029"/>
  <pivotCaches>
    <pivotCache cacheId="101" r:id="rId27"/>
    <pivotCache cacheId="102" r:id="rId28"/>
  </pivotCaches>
  <extLst>
    <ext xmlns:x14="http://schemas.microsoft.com/office/spreadsheetml/2009/9/main" uri="{BBE1A952-AA13-448e-AADC-164F8A28A991}">
      <x14:slicerCaches>
        <x14:slicerCache r:id="rId29"/>
        <x14:slicerCache r:id="rId30"/>
        <x14:slicerCache r:id="rId31"/>
        <x14:slicerCache r:id="rId32"/>
        <x14:slicerCache r:id="rId33"/>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3" l="1" a="1"/>
  <c r="B3" i="23" s="1"/>
  <c r="D3" i="23"/>
  <c r="T6" i="23" s="1"/>
  <c r="T7" i="23"/>
  <c r="S14" i="23"/>
  <c r="U14" i="23" s="1"/>
  <c r="S29" i="23"/>
  <c r="U29" i="23" s="1"/>
  <c r="S35" i="23"/>
  <c r="U35" i="23"/>
  <c r="S39" i="23" a="1"/>
  <c r="S39" i="23" s="1"/>
  <c r="T39" i="23" s="1"/>
  <c r="D13" i="20"/>
  <c r="D12" i="20"/>
  <c r="T40" i="23" l="1"/>
  <c r="T42" i="23"/>
  <c r="T43" i="23"/>
  <c r="T41" i="23"/>
  <c r="T14" i="23"/>
  <c r="S15" i="23"/>
  <c r="S16" i="23" s="1"/>
  <c r="T16" i="23" s="1"/>
  <c r="T10" i="23"/>
  <c r="T15" i="23"/>
  <c r="T8" i="23"/>
  <c r="T9" i="23" s="1"/>
  <c r="C7" i="16"/>
  <c r="D7" i="16"/>
  <c r="E7" i="16"/>
  <c r="F7" i="16"/>
  <c r="G7" i="16"/>
  <c r="H7" i="16"/>
  <c r="I7" i="16"/>
  <c r="J7" i="16"/>
  <c r="K7" i="16"/>
  <c r="L7" i="16"/>
  <c r="M7" i="16"/>
  <c r="N7" i="16"/>
  <c r="O7" i="16"/>
  <c r="P7" i="16"/>
  <c r="Q7" i="16"/>
  <c r="C8" i="16"/>
  <c r="D8" i="16"/>
  <c r="E8" i="16"/>
  <c r="F8" i="16"/>
  <c r="G8" i="16"/>
  <c r="H8" i="16"/>
  <c r="I8" i="16"/>
  <c r="J8" i="16"/>
  <c r="K8" i="16"/>
  <c r="L8" i="16"/>
  <c r="M8" i="16"/>
  <c r="N8" i="16"/>
  <c r="O8" i="16"/>
  <c r="P8" i="16"/>
  <c r="Q8" i="16"/>
  <c r="C9" i="16"/>
  <c r="D9" i="16"/>
  <c r="E9" i="16"/>
  <c r="F9" i="16"/>
  <c r="G9" i="16"/>
  <c r="H9" i="16"/>
  <c r="I9" i="16"/>
  <c r="J9" i="16"/>
  <c r="K9" i="16"/>
  <c r="L9" i="16"/>
  <c r="M9" i="16"/>
  <c r="N9" i="16"/>
  <c r="O9" i="16"/>
  <c r="P9" i="16"/>
  <c r="Q9" i="16"/>
  <c r="C10" i="16"/>
  <c r="D10" i="16"/>
  <c r="E10" i="16"/>
  <c r="F10" i="16"/>
  <c r="G10" i="16"/>
  <c r="H10" i="16"/>
  <c r="I10" i="16"/>
  <c r="J10" i="16"/>
  <c r="K10" i="16"/>
  <c r="L10" i="16"/>
  <c r="M10" i="16"/>
  <c r="N10" i="16"/>
  <c r="O10" i="16"/>
  <c r="P10" i="16"/>
  <c r="Q10" i="16"/>
  <c r="C11" i="16"/>
  <c r="D11" i="16"/>
  <c r="E11" i="16"/>
  <c r="F11" i="16"/>
  <c r="G11" i="16"/>
  <c r="H11" i="16"/>
  <c r="I11" i="16"/>
  <c r="J11" i="16"/>
  <c r="K11" i="16"/>
  <c r="L11" i="16"/>
  <c r="M11" i="16"/>
  <c r="N11" i="16"/>
  <c r="O11" i="16"/>
  <c r="P11" i="16"/>
  <c r="Q11" i="16"/>
  <c r="C13" i="16"/>
  <c r="D13" i="16"/>
  <c r="E13" i="16"/>
  <c r="F13" i="16"/>
  <c r="G13" i="16"/>
  <c r="H13" i="16"/>
  <c r="I13" i="16"/>
  <c r="J13" i="16"/>
  <c r="K13" i="16"/>
  <c r="L13" i="16"/>
  <c r="M13" i="16"/>
  <c r="N13" i="16"/>
  <c r="O13" i="16"/>
  <c r="P13" i="16"/>
  <c r="Q13" i="16"/>
  <c r="R13" i="16"/>
  <c r="C18" i="16"/>
  <c r="D18" i="16"/>
  <c r="E18" i="16"/>
  <c r="F18" i="16"/>
  <c r="G18" i="16"/>
  <c r="H18" i="16"/>
  <c r="I18" i="16"/>
  <c r="J18" i="16"/>
  <c r="K18" i="16"/>
  <c r="L18" i="16"/>
  <c r="M18" i="16"/>
  <c r="N18" i="16"/>
  <c r="O18" i="16"/>
  <c r="P18" i="16"/>
  <c r="Q18" i="16"/>
  <c r="C19" i="16"/>
  <c r="D19" i="16"/>
  <c r="E19" i="16"/>
  <c r="F19" i="16"/>
  <c r="G19" i="16"/>
  <c r="H19" i="16"/>
  <c r="I19" i="16"/>
  <c r="J19" i="16"/>
  <c r="K19" i="16"/>
  <c r="L19" i="16"/>
  <c r="M19" i="16"/>
  <c r="N19" i="16"/>
  <c r="O19" i="16"/>
  <c r="P19" i="16"/>
  <c r="Q19" i="16"/>
  <c r="C20" i="16"/>
  <c r="D20" i="16"/>
  <c r="E20" i="16"/>
  <c r="F20" i="16"/>
  <c r="G20" i="16"/>
  <c r="H20" i="16"/>
  <c r="I20" i="16"/>
  <c r="J20" i="16"/>
  <c r="K20" i="16"/>
  <c r="L20" i="16"/>
  <c r="M20" i="16"/>
  <c r="N20" i="16"/>
  <c r="O20" i="16"/>
  <c r="P20" i="16"/>
  <c r="Q20" i="16"/>
  <c r="C22" i="16"/>
  <c r="D22" i="16"/>
  <c r="E22" i="16"/>
  <c r="F22" i="16"/>
  <c r="G22" i="16"/>
  <c r="H22" i="16"/>
  <c r="I22" i="16"/>
  <c r="J22" i="16"/>
  <c r="K22" i="16"/>
  <c r="L22" i="16"/>
  <c r="M22" i="16"/>
  <c r="N22" i="16"/>
  <c r="O22" i="16"/>
  <c r="P22" i="16"/>
  <c r="Q22" i="16"/>
  <c r="C25" i="16"/>
  <c r="D25" i="16"/>
  <c r="E25" i="16"/>
  <c r="F25" i="16"/>
  <c r="G25" i="16"/>
  <c r="H25" i="16"/>
  <c r="H27" i="16" s="1"/>
  <c r="I25" i="16"/>
  <c r="J25" i="16"/>
  <c r="K25" i="16"/>
  <c r="L25" i="16"/>
  <c r="M25" i="16"/>
  <c r="N25" i="16"/>
  <c r="O25" i="16"/>
  <c r="P25" i="16"/>
  <c r="Q25" i="16"/>
  <c r="C26" i="16"/>
  <c r="D26" i="16"/>
  <c r="E26" i="16"/>
  <c r="F26" i="16"/>
  <c r="G26" i="16"/>
  <c r="H26" i="16"/>
  <c r="I26" i="16"/>
  <c r="J26" i="16"/>
  <c r="K26" i="16"/>
  <c r="L26" i="16"/>
  <c r="M26" i="16"/>
  <c r="N26" i="16"/>
  <c r="O26" i="16"/>
  <c r="P26" i="16"/>
  <c r="Q26" i="16"/>
  <c r="C28" i="16"/>
  <c r="D28" i="16"/>
  <c r="E28" i="16"/>
  <c r="F28" i="16"/>
  <c r="G28" i="16"/>
  <c r="H28" i="16"/>
  <c r="I28" i="16"/>
  <c r="J28" i="16"/>
  <c r="K28" i="16"/>
  <c r="L28" i="16"/>
  <c r="M28" i="16"/>
  <c r="N28" i="16"/>
  <c r="O28" i="16"/>
  <c r="P28" i="16"/>
  <c r="Q28" i="16"/>
  <c r="C31" i="16"/>
  <c r="D31" i="16"/>
  <c r="E31" i="16"/>
  <c r="F31" i="16"/>
  <c r="G31" i="16"/>
  <c r="H31" i="16"/>
  <c r="I31" i="16"/>
  <c r="J31" i="16"/>
  <c r="K31" i="16"/>
  <c r="L31" i="16"/>
  <c r="M31" i="16"/>
  <c r="N31" i="16"/>
  <c r="O31" i="16"/>
  <c r="P31" i="16"/>
  <c r="Q31" i="16"/>
  <c r="C32" i="16"/>
  <c r="D32" i="16"/>
  <c r="E32" i="16"/>
  <c r="F32" i="16"/>
  <c r="G32" i="16"/>
  <c r="H32" i="16"/>
  <c r="I32" i="16"/>
  <c r="J32" i="16"/>
  <c r="K32" i="16"/>
  <c r="L32" i="16"/>
  <c r="M32" i="16"/>
  <c r="N32" i="16"/>
  <c r="O32" i="16"/>
  <c r="O33" i="16" s="1"/>
  <c r="P32" i="16"/>
  <c r="Q32" i="16"/>
  <c r="C34" i="16"/>
  <c r="D34" i="16"/>
  <c r="E34" i="16"/>
  <c r="F34" i="16"/>
  <c r="G34" i="16"/>
  <c r="H34" i="16"/>
  <c r="I34" i="16"/>
  <c r="J34" i="16"/>
  <c r="K34" i="16"/>
  <c r="L34" i="16"/>
  <c r="M34" i="16"/>
  <c r="N34" i="16"/>
  <c r="O34" i="16"/>
  <c r="P34" i="16"/>
  <c r="Q34" i="16"/>
  <c r="D7" i="15"/>
  <c r="D13" i="15"/>
  <c r="E13" i="15"/>
  <c r="D14" i="15"/>
  <c r="E14" i="15"/>
  <c r="D15" i="15"/>
  <c r="E15" i="15"/>
  <c r="D16" i="15"/>
  <c r="F16" i="15" s="1"/>
  <c r="G16" i="15" s="1"/>
  <c r="E16" i="15"/>
  <c r="D17" i="15"/>
  <c r="F17" i="15" s="1"/>
  <c r="G17" i="15" s="1"/>
  <c r="E17" i="15"/>
  <c r="D18" i="15"/>
  <c r="E18" i="15"/>
  <c r="D19" i="15"/>
  <c r="E19" i="15"/>
  <c r="D20" i="15"/>
  <c r="E20" i="15"/>
  <c r="D21" i="15"/>
  <c r="E21" i="15"/>
  <c r="D22" i="15"/>
  <c r="E22" i="15"/>
  <c r="D23" i="15"/>
  <c r="E23" i="15"/>
  <c r="D24" i="15"/>
  <c r="E24" i="15"/>
  <c r="D25" i="15"/>
  <c r="E25" i="15"/>
  <c r="D26" i="15"/>
  <c r="E26" i="15"/>
  <c r="D27" i="15"/>
  <c r="E27" i="15"/>
  <c r="D28" i="15"/>
  <c r="E28" i="15"/>
  <c r="F28" i="15" s="1"/>
  <c r="G28" i="15" s="1"/>
  <c r="D29" i="15"/>
  <c r="F29" i="15" s="1"/>
  <c r="G29" i="15" s="1"/>
  <c r="E29" i="15"/>
  <c r="D30" i="15"/>
  <c r="F30" i="15" s="1"/>
  <c r="G30" i="15" s="1"/>
  <c r="E30" i="15"/>
  <c r="D31" i="15"/>
  <c r="E31" i="15"/>
  <c r="D32" i="15"/>
  <c r="E32" i="15"/>
  <c r="D33" i="15"/>
  <c r="E33" i="15"/>
  <c r="D34" i="15"/>
  <c r="E34" i="15"/>
  <c r="D35" i="15"/>
  <c r="E35" i="15"/>
  <c r="D36" i="15"/>
  <c r="E36" i="15"/>
  <c r="D37" i="15"/>
  <c r="E37" i="15"/>
  <c r="D38" i="15"/>
  <c r="E38" i="15"/>
  <c r="D39" i="15"/>
  <c r="E39" i="15"/>
  <c r="D40" i="15"/>
  <c r="E40" i="15"/>
  <c r="D41" i="15"/>
  <c r="F41" i="15" s="1"/>
  <c r="G41" i="15" s="1"/>
  <c r="E41" i="15"/>
  <c r="D42" i="15"/>
  <c r="E42" i="15"/>
  <c r="D43" i="15"/>
  <c r="E43" i="15"/>
  <c r="D44" i="15"/>
  <c r="E44" i="15"/>
  <c r="D45" i="15"/>
  <c r="E45" i="15"/>
  <c r="D46" i="15"/>
  <c r="E46" i="15"/>
  <c r="D47" i="15"/>
  <c r="E47" i="15"/>
  <c r="D48" i="15"/>
  <c r="E48" i="15"/>
  <c r="D49" i="15"/>
  <c r="E49" i="15"/>
  <c r="D50" i="15"/>
  <c r="E50" i="15"/>
  <c r="D51" i="15"/>
  <c r="E51" i="15"/>
  <c r="D52" i="15"/>
  <c r="F52" i="15" s="1"/>
  <c r="G52" i="15" s="1"/>
  <c r="E52" i="15"/>
  <c r="D53" i="15"/>
  <c r="E53" i="15"/>
  <c r="D54" i="15"/>
  <c r="E54" i="15"/>
  <c r="D55" i="15"/>
  <c r="E55" i="15"/>
  <c r="D56" i="15"/>
  <c r="E56" i="15"/>
  <c r="D57" i="15"/>
  <c r="E57" i="15"/>
  <c r="D58" i="15"/>
  <c r="E58" i="15"/>
  <c r="D59" i="15"/>
  <c r="E59" i="15"/>
  <c r="D60" i="15"/>
  <c r="E60" i="15"/>
  <c r="D61" i="15"/>
  <c r="E61" i="15"/>
  <c r="D62" i="15"/>
  <c r="E62" i="15"/>
  <c r="D63" i="15"/>
  <c r="E63" i="15"/>
  <c r="D64" i="15"/>
  <c r="E64" i="15"/>
  <c r="D65" i="15"/>
  <c r="E65" i="15"/>
  <c r="D66" i="15"/>
  <c r="F66" i="15" s="1"/>
  <c r="G66" i="15" s="1"/>
  <c r="E66" i="15"/>
  <c r="D67" i="15"/>
  <c r="E67" i="15"/>
  <c r="D68" i="15"/>
  <c r="E68" i="15"/>
  <c r="D69" i="15"/>
  <c r="E69" i="15"/>
  <c r="D70" i="15"/>
  <c r="E70" i="15"/>
  <c r="D71" i="15"/>
  <c r="E71" i="15"/>
  <c r="D72" i="15"/>
  <c r="E72" i="15"/>
  <c r="D73" i="15"/>
  <c r="E73" i="15"/>
  <c r="D74" i="15"/>
  <c r="E74" i="15"/>
  <c r="D75" i="15"/>
  <c r="E75" i="15"/>
  <c r="D76" i="15"/>
  <c r="F76" i="15" s="1"/>
  <c r="G76" i="15" s="1"/>
  <c r="E76" i="15"/>
  <c r="D77" i="15"/>
  <c r="E77" i="15"/>
  <c r="D78" i="15"/>
  <c r="E78" i="15"/>
  <c r="D79" i="15"/>
  <c r="E79" i="15"/>
  <c r="D80" i="15"/>
  <c r="E80" i="15"/>
  <c r="D81" i="15"/>
  <c r="E81" i="15"/>
  <c r="D82" i="15"/>
  <c r="E82" i="15"/>
  <c r="D85" i="15"/>
  <c r="E85" i="15"/>
  <c r="D86" i="15"/>
  <c r="E86" i="15"/>
  <c r="D87" i="15"/>
  <c r="E87" i="15"/>
  <c r="D88" i="15"/>
  <c r="E88" i="15"/>
  <c r="D89" i="15"/>
  <c r="E89" i="15"/>
  <c r="D90" i="15"/>
  <c r="E90" i="15"/>
  <c r="D91" i="15"/>
  <c r="E91" i="15"/>
  <c r="D92" i="15"/>
  <c r="E92" i="15"/>
  <c r="D93" i="15"/>
  <c r="E93" i="15"/>
  <c r="D94" i="15"/>
  <c r="E94" i="15"/>
  <c r="D95" i="15"/>
  <c r="E95" i="15"/>
  <c r="D96" i="15"/>
  <c r="E96" i="15"/>
  <c r="D97" i="15"/>
  <c r="E97" i="15"/>
  <c r="D98" i="15"/>
  <c r="E98" i="15"/>
  <c r="D99" i="15"/>
  <c r="E99" i="15"/>
  <c r="D100" i="15"/>
  <c r="E100" i="15"/>
  <c r="D101" i="15"/>
  <c r="E101" i="15"/>
  <c r="D102" i="15"/>
  <c r="E102" i="15"/>
  <c r="D103" i="15"/>
  <c r="E103" i="15"/>
  <c r="D104" i="15"/>
  <c r="E104" i="15"/>
  <c r="D105" i="15"/>
  <c r="E105" i="15"/>
  <c r="D106" i="15"/>
  <c r="E106" i="15"/>
  <c r="Q177" i="25"/>
  <c r="Q178" i="25"/>
  <c r="Q179" i="25"/>
  <c r="Q180" i="25"/>
  <c r="Q181" i="25"/>
  <c r="Q182" i="25"/>
  <c r="Q183" i="25"/>
  <c r="Q89" i="25"/>
  <c r="Q90" i="25"/>
  <c r="Q91" i="25"/>
  <c r="Q92" i="25"/>
  <c r="Q93" i="25"/>
  <c r="Q94" i="25"/>
  <c r="Q95" i="25"/>
  <c r="Q96" i="25"/>
  <c r="Q97" i="25"/>
  <c r="Q98" i="25"/>
  <c r="Q99" i="25"/>
  <c r="Q100" i="25"/>
  <c r="Q101" i="25"/>
  <c r="Q102" i="25"/>
  <c r="Q103" i="25"/>
  <c r="Q104" i="25"/>
  <c r="Q105" i="25"/>
  <c r="Q106" i="25"/>
  <c r="Q107" i="25"/>
  <c r="Q108" i="25"/>
  <c r="Q109" i="25"/>
  <c r="Q110" i="25"/>
  <c r="Q111" i="25"/>
  <c r="Q112" i="25"/>
  <c r="Q113" i="25"/>
  <c r="Q114" i="25"/>
  <c r="Q115" i="25"/>
  <c r="Q116" i="25"/>
  <c r="Q117" i="25"/>
  <c r="Q118" i="25"/>
  <c r="Q119" i="25"/>
  <c r="Q120" i="25"/>
  <c r="Q121" i="25"/>
  <c r="Q122" i="25"/>
  <c r="Q123" i="25"/>
  <c r="Q124" i="25"/>
  <c r="Q125" i="25"/>
  <c r="Q126" i="25"/>
  <c r="Q127" i="25"/>
  <c r="Q128" i="25"/>
  <c r="Q129" i="25"/>
  <c r="Q130" i="25"/>
  <c r="Q131" i="25"/>
  <c r="Q132" i="25"/>
  <c r="Q133" i="25"/>
  <c r="Q134" i="25"/>
  <c r="Q135" i="25"/>
  <c r="Q136" i="25"/>
  <c r="Q137" i="25"/>
  <c r="Q138" i="25"/>
  <c r="Q139" i="25"/>
  <c r="Q140" i="25"/>
  <c r="Q141" i="25"/>
  <c r="Q142" i="25"/>
  <c r="Q143" i="25"/>
  <c r="Q144" i="25"/>
  <c r="Q145" i="25"/>
  <c r="Q146" i="25"/>
  <c r="Q147" i="25"/>
  <c r="Q148" i="25"/>
  <c r="Q149" i="25"/>
  <c r="Q150" i="25"/>
  <c r="Q151" i="25"/>
  <c r="Q152" i="25"/>
  <c r="Q153" i="25"/>
  <c r="Q154" i="25"/>
  <c r="Q155" i="25"/>
  <c r="Q156" i="25"/>
  <c r="Q157" i="25"/>
  <c r="Q158" i="25"/>
  <c r="Q159" i="25"/>
  <c r="Q160" i="25"/>
  <c r="Q161" i="25"/>
  <c r="Q162" i="25"/>
  <c r="Q163" i="25"/>
  <c r="Q164" i="25"/>
  <c r="Q165" i="25"/>
  <c r="Q166" i="25"/>
  <c r="Q167" i="25"/>
  <c r="Q168" i="25"/>
  <c r="Q169" i="25"/>
  <c r="Q170" i="25"/>
  <c r="Q171" i="25"/>
  <c r="Q172" i="25"/>
  <c r="Q173" i="25"/>
  <c r="Q174" i="25"/>
  <c r="Q175" i="25"/>
  <c r="Q176" i="25"/>
  <c r="Q6" i="25"/>
  <c r="Q7" i="25"/>
  <c r="Q8" i="25"/>
  <c r="Q9" i="25"/>
  <c r="Q10" i="25"/>
  <c r="Q11" i="25"/>
  <c r="Q12" i="25"/>
  <c r="Q13" i="25"/>
  <c r="Q14" i="25"/>
  <c r="Q15" i="25"/>
  <c r="Q16" i="25"/>
  <c r="Q17" i="25"/>
  <c r="Q18" i="25"/>
  <c r="Q19" i="25"/>
  <c r="Q20" i="25"/>
  <c r="Q21" i="25"/>
  <c r="Q22" i="25"/>
  <c r="Q23" i="25"/>
  <c r="Q24" i="25"/>
  <c r="Q25" i="25"/>
  <c r="Q26" i="25"/>
  <c r="Q27" i="25"/>
  <c r="Q28" i="25"/>
  <c r="Q29" i="25"/>
  <c r="Q30" i="25"/>
  <c r="Q31" i="25"/>
  <c r="Q32" i="25"/>
  <c r="Q33" i="25"/>
  <c r="Q34" i="25"/>
  <c r="Q35" i="25"/>
  <c r="Q36" i="25"/>
  <c r="Q37" i="25"/>
  <c r="Q38" i="25"/>
  <c r="Q39" i="25"/>
  <c r="Q40" i="25"/>
  <c r="Q41" i="25"/>
  <c r="Q42" i="25"/>
  <c r="Q43" i="25"/>
  <c r="Q44" i="25"/>
  <c r="Q45" i="25"/>
  <c r="Q46" i="25"/>
  <c r="Q47" i="25"/>
  <c r="Q48" i="25"/>
  <c r="Q49" i="25"/>
  <c r="Q50" i="25"/>
  <c r="Q51" i="25"/>
  <c r="Q52" i="25"/>
  <c r="Q53" i="25"/>
  <c r="Q54" i="25"/>
  <c r="Q55" i="25"/>
  <c r="Q56" i="25"/>
  <c r="Q57" i="25"/>
  <c r="Q58" i="25"/>
  <c r="Q59" i="25"/>
  <c r="Q60" i="25"/>
  <c r="Q61" i="25"/>
  <c r="Q62" i="25"/>
  <c r="Q63" i="25"/>
  <c r="Q64" i="25"/>
  <c r="Q65" i="25"/>
  <c r="Q66" i="25"/>
  <c r="Q67" i="25"/>
  <c r="Q68" i="25"/>
  <c r="Q69" i="25"/>
  <c r="Q70" i="25"/>
  <c r="Q71" i="25"/>
  <c r="Q72" i="25"/>
  <c r="Q73" i="25"/>
  <c r="Q74" i="25"/>
  <c r="Q75" i="25"/>
  <c r="Q76" i="25"/>
  <c r="Q77" i="25"/>
  <c r="Q78" i="25"/>
  <c r="Q79" i="25"/>
  <c r="Q80" i="25"/>
  <c r="Q81" i="25"/>
  <c r="Q82" i="25"/>
  <c r="Q83" i="25"/>
  <c r="Q84" i="25"/>
  <c r="Q85" i="25"/>
  <c r="Q86" i="25"/>
  <c r="Q87" i="25"/>
  <c r="Q88" i="25"/>
  <c r="C7" i="9"/>
  <c r="D7" i="9"/>
  <c r="E7" i="9"/>
  <c r="F7" i="9"/>
  <c r="G7" i="9"/>
  <c r="H7" i="9"/>
  <c r="I7" i="9"/>
  <c r="J7" i="9"/>
  <c r="K7" i="9"/>
  <c r="L7" i="9"/>
  <c r="M7" i="9"/>
  <c r="N7" i="9"/>
  <c r="O7" i="9"/>
  <c r="P7" i="9"/>
  <c r="Q7" i="9"/>
  <c r="C8" i="9"/>
  <c r="D8" i="9"/>
  <c r="E8" i="9"/>
  <c r="F8" i="9"/>
  <c r="G8" i="9"/>
  <c r="H8" i="9"/>
  <c r="I8" i="9"/>
  <c r="J8" i="9"/>
  <c r="K8" i="9"/>
  <c r="L8" i="9"/>
  <c r="M8" i="9"/>
  <c r="N8" i="9"/>
  <c r="O8" i="9"/>
  <c r="P8" i="9"/>
  <c r="Q8" i="9"/>
  <c r="C9" i="9"/>
  <c r="D9" i="9"/>
  <c r="E9" i="9"/>
  <c r="F9" i="9"/>
  <c r="G9" i="9"/>
  <c r="H9" i="9"/>
  <c r="I9" i="9"/>
  <c r="J9" i="9"/>
  <c r="K9" i="9"/>
  <c r="L9" i="9"/>
  <c r="M9" i="9"/>
  <c r="N9" i="9"/>
  <c r="O9" i="9"/>
  <c r="P9" i="9"/>
  <c r="Q9" i="9"/>
  <c r="C11" i="9"/>
  <c r="D11" i="9"/>
  <c r="E11" i="9"/>
  <c r="F11" i="9"/>
  <c r="G11" i="9"/>
  <c r="H11" i="9"/>
  <c r="I11" i="9"/>
  <c r="J11" i="9"/>
  <c r="K11" i="9"/>
  <c r="L11" i="9"/>
  <c r="M11" i="9"/>
  <c r="N11" i="9"/>
  <c r="O11" i="9"/>
  <c r="P11" i="9"/>
  <c r="Q11" i="9"/>
  <c r="C17" i="9"/>
  <c r="D17" i="9"/>
  <c r="E17" i="9"/>
  <c r="F17" i="9"/>
  <c r="G17" i="9"/>
  <c r="H17" i="9"/>
  <c r="I17" i="9"/>
  <c r="J17" i="9"/>
  <c r="K17" i="9"/>
  <c r="L17" i="9"/>
  <c r="M17" i="9"/>
  <c r="N17" i="9"/>
  <c r="O17" i="9"/>
  <c r="P17" i="9"/>
  <c r="Q17" i="9"/>
  <c r="C18" i="9"/>
  <c r="D18" i="9"/>
  <c r="E18" i="9"/>
  <c r="F18" i="9"/>
  <c r="G18" i="9"/>
  <c r="H18" i="9"/>
  <c r="I18" i="9"/>
  <c r="J18" i="9"/>
  <c r="K18" i="9"/>
  <c r="L18" i="9"/>
  <c r="M18" i="9"/>
  <c r="N18" i="9"/>
  <c r="O18" i="9"/>
  <c r="P18" i="9"/>
  <c r="Q18" i="9"/>
  <c r="C19" i="9"/>
  <c r="D19" i="9"/>
  <c r="E19" i="9"/>
  <c r="F19" i="9"/>
  <c r="G19" i="9"/>
  <c r="H19" i="9"/>
  <c r="I19" i="9"/>
  <c r="J19" i="9"/>
  <c r="K19" i="9"/>
  <c r="L19" i="9"/>
  <c r="M19" i="9"/>
  <c r="N19" i="9"/>
  <c r="O19" i="9"/>
  <c r="P19" i="9"/>
  <c r="Q19" i="9"/>
  <c r="C21" i="9"/>
  <c r="D21" i="9"/>
  <c r="E21" i="9"/>
  <c r="F21" i="9"/>
  <c r="G21" i="9"/>
  <c r="H21" i="9"/>
  <c r="I21" i="9"/>
  <c r="J21" i="9"/>
  <c r="K21" i="9"/>
  <c r="L21" i="9"/>
  <c r="M21" i="9"/>
  <c r="N21" i="9"/>
  <c r="O21" i="9"/>
  <c r="P21" i="9"/>
  <c r="Q21" i="9"/>
  <c r="C25" i="9"/>
  <c r="D25" i="9"/>
  <c r="E25" i="9"/>
  <c r="F25" i="9"/>
  <c r="G25" i="9"/>
  <c r="H25" i="9"/>
  <c r="I25" i="9"/>
  <c r="J25" i="9"/>
  <c r="K25" i="9"/>
  <c r="L25" i="9"/>
  <c r="M25" i="9"/>
  <c r="N25" i="9"/>
  <c r="O25" i="9"/>
  <c r="P25" i="9"/>
  <c r="Q25" i="9"/>
  <c r="C26" i="9"/>
  <c r="D26" i="9"/>
  <c r="E26" i="9"/>
  <c r="F26" i="9"/>
  <c r="G26" i="9"/>
  <c r="H26" i="9"/>
  <c r="I26" i="9"/>
  <c r="J26" i="9"/>
  <c r="K26" i="9"/>
  <c r="L26" i="9"/>
  <c r="M26" i="9"/>
  <c r="N26" i="9"/>
  <c r="N27" i="9" s="1"/>
  <c r="O26" i="9"/>
  <c r="P26" i="9"/>
  <c r="Q26" i="9"/>
  <c r="C35" i="9"/>
  <c r="D35" i="9"/>
  <c r="E35" i="9"/>
  <c r="F35" i="9"/>
  <c r="G35" i="9"/>
  <c r="H35" i="9"/>
  <c r="I35" i="9"/>
  <c r="J35" i="9"/>
  <c r="K35" i="9"/>
  <c r="L35" i="9"/>
  <c r="M35" i="9"/>
  <c r="N35" i="9"/>
  <c r="O35" i="9"/>
  <c r="P35" i="9"/>
  <c r="Q35" i="9"/>
  <c r="C38" i="9"/>
  <c r="D38" i="9"/>
  <c r="E38" i="9"/>
  <c r="F38" i="9"/>
  <c r="G38" i="9"/>
  <c r="H38" i="9"/>
  <c r="I38" i="9"/>
  <c r="J38" i="9"/>
  <c r="K38" i="9"/>
  <c r="L38" i="9"/>
  <c r="M38" i="9"/>
  <c r="N38" i="9"/>
  <c r="O38" i="9"/>
  <c r="P38" i="9"/>
  <c r="Q38" i="9"/>
  <c r="C41" i="9"/>
  <c r="D41" i="9"/>
  <c r="E41" i="9"/>
  <c r="F41" i="9"/>
  <c r="G41" i="9"/>
  <c r="H41" i="9"/>
  <c r="I41" i="9"/>
  <c r="J41" i="9"/>
  <c r="K41" i="9"/>
  <c r="L41" i="9"/>
  <c r="M41" i="9"/>
  <c r="N41" i="9"/>
  <c r="O41" i="9"/>
  <c r="P41" i="9"/>
  <c r="Q41" i="9"/>
  <c r="C7" i="8"/>
  <c r="D7" i="8"/>
  <c r="E7" i="8"/>
  <c r="F7" i="8"/>
  <c r="G7" i="8"/>
  <c r="H7" i="8"/>
  <c r="I7" i="8"/>
  <c r="J7" i="8"/>
  <c r="K7" i="8"/>
  <c r="L7" i="8"/>
  <c r="M7" i="8"/>
  <c r="N7" i="8"/>
  <c r="O7" i="8"/>
  <c r="P7" i="8"/>
  <c r="Q7" i="8"/>
  <c r="C8" i="8"/>
  <c r="D8" i="8"/>
  <c r="E8" i="8"/>
  <c r="F8" i="8"/>
  <c r="G8" i="8"/>
  <c r="H8" i="8"/>
  <c r="I8" i="8"/>
  <c r="J8" i="8"/>
  <c r="K8" i="8"/>
  <c r="L8" i="8"/>
  <c r="M8" i="8"/>
  <c r="N8" i="8"/>
  <c r="O8" i="8"/>
  <c r="P8" i="8"/>
  <c r="Q8" i="8"/>
  <c r="C9" i="8"/>
  <c r="D9" i="8"/>
  <c r="E9" i="8"/>
  <c r="F9" i="8"/>
  <c r="G9" i="8"/>
  <c r="H9" i="8"/>
  <c r="I9" i="8"/>
  <c r="J9" i="8"/>
  <c r="K9" i="8"/>
  <c r="L9" i="8"/>
  <c r="M9" i="8"/>
  <c r="N9" i="8"/>
  <c r="O9" i="8"/>
  <c r="P9" i="8"/>
  <c r="Q9" i="8"/>
  <c r="C13" i="8"/>
  <c r="D13" i="8"/>
  <c r="E13" i="8"/>
  <c r="F13" i="8"/>
  <c r="G13" i="8"/>
  <c r="H13" i="8"/>
  <c r="I13" i="8"/>
  <c r="J13" i="8"/>
  <c r="K13" i="8"/>
  <c r="L13" i="8"/>
  <c r="M13" i="8"/>
  <c r="N13" i="8"/>
  <c r="O13" i="8"/>
  <c r="P13" i="8"/>
  <c r="Q13" i="8"/>
  <c r="C14" i="8"/>
  <c r="D14" i="8"/>
  <c r="E14" i="8"/>
  <c r="F14" i="8"/>
  <c r="G14" i="8"/>
  <c r="H14" i="8"/>
  <c r="I14" i="8"/>
  <c r="J14" i="8"/>
  <c r="K14" i="8"/>
  <c r="L14" i="8"/>
  <c r="M14" i="8"/>
  <c r="N14" i="8"/>
  <c r="O14" i="8"/>
  <c r="P14" i="8"/>
  <c r="Q14" i="8"/>
  <c r="C20" i="8"/>
  <c r="D20" i="8"/>
  <c r="D21" i="8" s="1"/>
  <c r="E20" i="8"/>
  <c r="E21" i="8" s="1"/>
  <c r="F20" i="8"/>
  <c r="F21" i="8" s="1"/>
  <c r="G20" i="8"/>
  <c r="G21" i="8" s="1"/>
  <c r="H20" i="8"/>
  <c r="H21" i="8" s="1"/>
  <c r="I20" i="8"/>
  <c r="I21" i="8" s="1"/>
  <c r="J20" i="8"/>
  <c r="J21" i="8" s="1"/>
  <c r="K20" i="8"/>
  <c r="K21" i="8" s="1"/>
  <c r="L20" i="8"/>
  <c r="L21" i="8" s="1"/>
  <c r="M20" i="8"/>
  <c r="M21" i="8" s="1"/>
  <c r="N20" i="8"/>
  <c r="N21" i="8" s="1"/>
  <c r="O20" i="8"/>
  <c r="O21" i="8" s="1"/>
  <c r="P20" i="8"/>
  <c r="P21" i="8" s="1"/>
  <c r="Q20" i="8"/>
  <c r="Q21" i="8" s="1"/>
  <c r="C26" i="8"/>
  <c r="D26" i="8"/>
  <c r="E26" i="8"/>
  <c r="F26" i="8"/>
  <c r="G26" i="8"/>
  <c r="H26" i="8"/>
  <c r="I26" i="8"/>
  <c r="J26" i="8"/>
  <c r="K26" i="8"/>
  <c r="L26" i="8"/>
  <c r="M26" i="8"/>
  <c r="N26" i="8"/>
  <c r="O26" i="8"/>
  <c r="P26" i="8"/>
  <c r="Q26" i="8"/>
  <c r="C27" i="8"/>
  <c r="D27" i="8"/>
  <c r="E27" i="8"/>
  <c r="F27" i="8"/>
  <c r="G27" i="8"/>
  <c r="H27" i="8"/>
  <c r="I27" i="8"/>
  <c r="J27" i="8"/>
  <c r="K27" i="8"/>
  <c r="L27" i="8"/>
  <c r="M27" i="8"/>
  <c r="N27" i="8"/>
  <c r="O27" i="8"/>
  <c r="P27" i="8"/>
  <c r="Q27" i="8"/>
  <c r="C28" i="8"/>
  <c r="D28" i="8"/>
  <c r="E28" i="8"/>
  <c r="F28" i="8"/>
  <c r="G28" i="8"/>
  <c r="H28" i="8"/>
  <c r="I28" i="8"/>
  <c r="J28" i="8"/>
  <c r="K28" i="8"/>
  <c r="L28" i="8"/>
  <c r="M28" i="8"/>
  <c r="N28" i="8"/>
  <c r="O28" i="8"/>
  <c r="P28" i="8"/>
  <c r="Q28" i="8"/>
  <c r="C29" i="8"/>
  <c r="D29" i="8"/>
  <c r="E29" i="8"/>
  <c r="F29" i="8"/>
  <c r="G29" i="8"/>
  <c r="H29" i="8"/>
  <c r="I29" i="8"/>
  <c r="J29" i="8"/>
  <c r="K29" i="8"/>
  <c r="L29" i="8"/>
  <c r="M29" i="8"/>
  <c r="N29" i="8"/>
  <c r="O29" i="8"/>
  <c r="P29" i="8"/>
  <c r="Q29" i="8"/>
  <c r="C30" i="8"/>
  <c r="D30" i="8"/>
  <c r="E30" i="8"/>
  <c r="F30" i="8"/>
  <c r="G30" i="8"/>
  <c r="H30" i="8"/>
  <c r="I30" i="8"/>
  <c r="J30" i="8"/>
  <c r="K30" i="8"/>
  <c r="L30" i="8"/>
  <c r="M30" i="8"/>
  <c r="N30" i="8"/>
  <c r="O30" i="8"/>
  <c r="P30" i="8"/>
  <c r="Q30" i="8"/>
  <c r="C31" i="8"/>
  <c r="D31" i="8"/>
  <c r="E31" i="8"/>
  <c r="F31" i="8"/>
  <c r="G31" i="8"/>
  <c r="H31" i="8"/>
  <c r="I31" i="8"/>
  <c r="J31" i="8"/>
  <c r="K31" i="8"/>
  <c r="L31" i="8"/>
  <c r="M31" i="8"/>
  <c r="N31" i="8"/>
  <c r="O31" i="8"/>
  <c r="P31" i="8"/>
  <c r="Q31" i="8"/>
  <c r="C32" i="8"/>
  <c r="D32" i="8"/>
  <c r="E32" i="8"/>
  <c r="F32" i="8"/>
  <c r="G32" i="8"/>
  <c r="H32" i="8"/>
  <c r="I32" i="8"/>
  <c r="J32" i="8"/>
  <c r="K32" i="8"/>
  <c r="L32" i="8"/>
  <c r="M32" i="8"/>
  <c r="N32" i="8"/>
  <c r="O32" i="8"/>
  <c r="P32" i="8"/>
  <c r="Q32" i="8"/>
  <c r="C33" i="8"/>
  <c r="D33" i="8"/>
  <c r="E33" i="8"/>
  <c r="F33" i="8"/>
  <c r="G33" i="8"/>
  <c r="H33" i="8"/>
  <c r="I33" i="8"/>
  <c r="J33" i="8"/>
  <c r="K33" i="8"/>
  <c r="L33" i="8"/>
  <c r="M33" i="8"/>
  <c r="N33" i="8"/>
  <c r="O33" i="8"/>
  <c r="P33" i="8"/>
  <c r="Q33" i="8"/>
  <c r="C34" i="8"/>
  <c r="D34" i="8"/>
  <c r="E34" i="8"/>
  <c r="F34" i="8"/>
  <c r="G34" i="8"/>
  <c r="H34" i="8"/>
  <c r="I34" i="8"/>
  <c r="J34" i="8"/>
  <c r="K34" i="8"/>
  <c r="L34" i="8"/>
  <c r="M34" i="8"/>
  <c r="N34" i="8"/>
  <c r="O34" i="8"/>
  <c r="P34" i="8"/>
  <c r="Q34" i="8"/>
  <c r="C35" i="8"/>
  <c r="D35" i="8"/>
  <c r="E35" i="8"/>
  <c r="F35" i="8"/>
  <c r="G35" i="8"/>
  <c r="H35" i="8"/>
  <c r="I35" i="8"/>
  <c r="J35" i="8"/>
  <c r="K35" i="8"/>
  <c r="L35" i="8"/>
  <c r="M35" i="8"/>
  <c r="N35" i="8"/>
  <c r="O35" i="8"/>
  <c r="P35" i="8"/>
  <c r="Q35" i="8"/>
  <c r="C36" i="8"/>
  <c r="D36" i="8"/>
  <c r="E36" i="8"/>
  <c r="F36" i="8"/>
  <c r="G36" i="8"/>
  <c r="H36" i="8"/>
  <c r="I36" i="8"/>
  <c r="J36" i="8"/>
  <c r="K36" i="8"/>
  <c r="L36" i="8"/>
  <c r="M36" i="8"/>
  <c r="N36" i="8"/>
  <c r="O36" i="8"/>
  <c r="P36" i="8"/>
  <c r="Q36" i="8"/>
  <c r="C42" i="8"/>
  <c r="C43" i="8" s="1"/>
  <c r="D42" i="8"/>
  <c r="D43" i="8" s="1"/>
  <c r="E42" i="8"/>
  <c r="E43" i="8" s="1"/>
  <c r="F42" i="8"/>
  <c r="F43" i="8" s="1"/>
  <c r="G42" i="8"/>
  <c r="G43" i="8" s="1"/>
  <c r="H42" i="8"/>
  <c r="H43" i="8" s="1"/>
  <c r="I42" i="8"/>
  <c r="I43" i="8" s="1"/>
  <c r="J42" i="8"/>
  <c r="J43" i="8" s="1"/>
  <c r="K42" i="8"/>
  <c r="K43" i="8" s="1"/>
  <c r="L42" i="8"/>
  <c r="L43" i="8" s="1"/>
  <c r="M42" i="8"/>
  <c r="M43" i="8" s="1"/>
  <c r="N42" i="8"/>
  <c r="N43" i="8" s="1"/>
  <c r="O42" i="8"/>
  <c r="O43" i="8" s="1"/>
  <c r="P42" i="8"/>
  <c r="P43" i="8" s="1"/>
  <c r="Q42" i="8"/>
  <c r="Q43" i="8" s="1"/>
  <c r="C47" i="8"/>
  <c r="D47" i="8"/>
  <c r="E47" i="8"/>
  <c r="F47" i="8"/>
  <c r="G47" i="8"/>
  <c r="H47" i="8"/>
  <c r="I47" i="8"/>
  <c r="J47" i="8"/>
  <c r="K47" i="8"/>
  <c r="L47" i="8"/>
  <c r="M47" i="8"/>
  <c r="N47" i="8"/>
  <c r="O47" i="8"/>
  <c r="P47" i="8"/>
  <c r="Q47" i="8"/>
  <c r="R47" i="8"/>
  <c r="D4" i="4"/>
  <c r="E4" i="4" s="1"/>
  <c r="F4" i="4" s="1"/>
  <c r="G4" i="4" s="1"/>
  <c r="H4" i="4" s="1"/>
  <c r="I4" i="4" s="1"/>
  <c r="J4" i="4" s="1"/>
  <c r="K4" i="4" s="1"/>
  <c r="L4" i="4" s="1"/>
  <c r="M4" i="4" s="1"/>
  <c r="N4" i="4" s="1"/>
  <c r="O4" i="4" s="1"/>
  <c r="P4" i="4" s="1"/>
  <c r="Q4" i="4" s="1"/>
  <c r="C76" i="4"/>
  <c r="D76" i="4"/>
  <c r="E76" i="4"/>
  <c r="F76" i="4"/>
  <c r="G76" i="4"/>
  <c r="H76" i="4"/>
  <c r="I76" i="4"/>
  <c r="J76" i="4"/>
  <c r="K76" i="4"/>
  <c r="L76" i="4"/>
  <c r="M76" i="4"/>
  <c r="N76" i="4"/>
  <c r="O76" i="4"/>
  <c r="P76" i="4"/>
  <c r="Q76" i="4"/>
  <c r="C77" i="4"/>
  <c r="D77" i="4"/>
  <c r="E77" i="4"/>
  <c r="F77" i="4"/>
  <c r="G77" i="4"/>
  <c r="H77" i="4"/>
  <c r="I77" i="4"/>
  <c r="J77" i="4"/>
  <c r="K77" i="4"/>
  <c r="L77" i="4"/>
  <c r="M77" i="4"/>
  <c r="N77" i="4"/>
  <c r="O77" i="4"/>
  <c r="P77" i="4"/>
  <c r="Q77" i="4"/>
  <c r="C80" i="4"/>
  <c r="D80" i="4"/>
  <c r="E80" i="4"/>
  <c r="F80" i="4"/>
  <c r="G80" i="4"/>
  <c r="H80" i="4"/>
  <c r="H82" i="4" s="1"/>
  <c r="I80" i="4"/>
  <c r="J80" i="4"/>
  <c r="K80" i="4"/>
  <c r="L80" i="4"/>
  <c r="L82" i="4" s="1"/>
  <c r="M80" i="4"/>
  <c r="N80" i="4"/>
  <c r="O80" i="4"/>
  <c r="P80" i="4"/>
  <c r="Q80" i="4"/>
  <c r="C81" i="4"/>
  <c r="D81" i="4"/>
  <c r="E81" i="4"/>
  <c r="F81" i="4"/>
  <c r="G81" i="4"/>
  <c r="H81" i="4"/>
  <c r="I81" i="4"/>
  <c r="J81" i="4"/>
  <c r="K81" i="4"/>
  <c r="L81" i="4"/>
  <c r="M81" i="4"/>
  <c r="M82" i="4" s="1"/>
  <c r="N81" i="4"/>
  <c r="O81" i="4"/>
  <c r="P81" i="4"/>
  <c r="Q81" i="4"/>
  <c r="C84" i="4"/>
  <c r="D84" i="4"/>
  <c r="E84" i="4"/>
  <c r="F84" i="4"/>
  <c r="G84" i="4"/>
  <c r="H84" i="4"/>
  <c r="I84" i="4"/>
  <c r="J84" i="4"/>
  <c r="K84" i="4"/>
  <c r="L84" i="4"/>
  <c r="M84" i="4"/>
  <c r="N84" i="4"/>
  <c r="O84" i="4"/>
  <c r="P84" i="4"/>
  <c r="Q84" i="4"/>
  <c r="C85" i="4"/>
  <c r="D85" i="4"/>
  <c r="E85" i="4"/>
  <c r="F85" i="4"/>
  <c r="G85" i="4"/>
  <c r="H85" i="4"/>
  <c r="I85" i="4"/>
  <c r="J85" i="4"/>
  <c r="K85" i="4"/>
  <c r="L85" i="4"/>
  <c r="M85" i="4"/>
  <c r="N85" i="4"/>
  <c r="O85" i="4"/>
  <c r="P85" i="4"/>
  <c r="Q85" i="4"/>
  <c r="C110" i="3"/>
  <c r="D110" i="3"/>
  <c r="E110" i="3"/>
  <c r="F110" i="3"/>
  <c r="G110" i="3"/>
  <c r="H110" i="3"/>
  <c r="I110" i="3"/>
  <c r="J110" i="3"/>
  <c r="K110" i="3"/>
  <c r="L110" i="3"/>
  <c r="M110" i="3"/>
  <c r="N110" i="3"/>
  <c r="N112" i="3" s="1"/>
  <c r="O110" i="3"/>
  <c r="P110" i="3"/>
  <c r="Q110" i="3"/>
  <c r="C111" i="3"/>
  <c r="D111" i="3"/>
  <c r="E111" i="3"/>
  <c r="F111" i="3"/>
  <c r="G111" i="3"/>
  <c r="H111" i="3"/>
  <c r="I111" i="3"/>
  <c r="J111" i="3"/>
  <c r="K111" i="3"/>
  <c r="K112" i="3" s="1"/>
  <c r="L111" i="3"/>
  <c r="M111" i="3"/>
  <c r="N111" i="3"/>
  <c r="O111" i="3"/>
  <c r="P111" i="3"/>
  <c r="Q111" i="3"/>
  <c r="D4" i="3"/>
  <c r="E4" i="3" s="1"/>
  <c r="F4" i="3" s="1"/>
  <c r="G4" i="3" s="1"/>
  <c r="H4" i="3" s="1"/>
  <c r="I4" i="3" s="1"/>
  <c r="J4" i="3" s="1"/>
  <c r="K4" i="3" s="1"/>
  <c r="L4" i="3" s="1"/>
  <c r="M4" i="3" s="1"/>
  <c r="N4" i="3" s="1"/>
  <c r="O4" i="3" s="1"/>
  <c r="P4" i="3" s="1"/>
  <c r="Q4" i="3" s="1"/>
  <c r="E44" i="20"/>
  <c r="F44" i="20"/>
  <c r="G44" i="20"/>
  <c r="E50" i="20"/>
  <c r="F50" i="20"/>
  <c r="G50" i="20"/>
  <c r="B3" i="20" a="1"/>
  <c r="B3" i="20" s="1"/>
  <c r="D5" i="20"/>
  <c r="C16" i="20" a="1"/>
  <c r="C16" i="20" s="1"/>
  <c r="E21" i="20"/>
  <c r="F21" i="20"/>
  <c r="G21" i="20"/>
  <c r="E22" i="20"/>
  <c r="F22" i="20"/>
  <c r="G22" i="20"/>
  <c r="E23" i="20"/>
  <c r="F23" i="20"/>
  <c r="G23" i="20"/>
  <c r="E24" i="20"/>
  <c r="F24" i="20"/>
  <c r="G24" i="20"/>
  <c r="E29" i="20"/>
  <c r="F29" i="20"/>
  <c r="G29" i="20"/>
  <c r="E30" i="20"/>
  <c r="F30" i="20"/>
  <c r="G30" i="20"/>
  <c r="E36" i="20"/>
  <c r="F36" i="20"/>
  <c r="G36" i="20"/>
  <c r="E37" i="20"/>
  <c r="F37" i="20"/>
  <c r="G37" i="20"/>
  <c r="E38" i="20"/>
  <c r="F38" i="20"/>
  <c r="G38" i="20"/>
  <c r="E39" i="20"/>
  <c r="F39" i="20"/>
  <c r="G39" i="20"/>
  <c r="E40" i="20"/>
  <c r="F40" i="20"/>
  <c r="G40" i="20"/>
  <c r="E41" i="20"/>
  <c r="F41" i="20"/>
  <c r="G41" i="20"/>
  <c r="E42" i="20"/>
  <c r="F42" i="20"/>
  <c r="G42" i="20"/>
  <c r="E43" i="20"/>
  <c r="F43" i="20"/>
  <c r="G43" i="20"/>
  <c r="B3" i="19" a="1"/>
  <c r="B3" i="19" s="1"/>
  <c r="D5" i="19"/>
  <c r="D12" i="19" s="1"/>
  <c r="C10" i="19" a="1"/>
  <c r="C10" i="19" s="1"/>
  <c r="D12" i="1"/>
  <c r="J27" i="9" l="1"/>
  <c r="F81" i="15"/>
  <c r="G81" i="15" s="1"/>
  <c r="K33" i="16"/>
  <c r="K35" i="16" s="1"/>
  <c r="J27" i="16"/>
  <c r="L27" i="9"/>
  <c r="I15" i="8"/>
  <c r="F53" i="15"/>
  <c r="G53" i="15" s="1"/>
  <c r="F31" i="15"/>
  <c r="G31" i="15" s="1"/>
  <c r="D112" i="3"/>
  <c r="C82" i="4"/>
  <c r="F72" i="15"/>
  <c r="G72" i="15" s="1"/>
  <c r="F50" i="15"/>
  <c r="G50" i="15" s="1"/>
  <c r="F39" i="15"/>
  <c r="G39" i="15" s="1"/>
  <c r="N27" i="16"/>
  <c r="N29" i="16" s="1"/>
  <c r="L33" i="16"/>
  <c r="L35" i="16" s="1"/>
  <c r="M27" i="16"/>
  <c r="F37" i="15"/>
  <c r="G37" i="15" s="1"/>
  <c r="N42" i="9"/>
  <c r="F79" i="15"/>
  <c r="G79" i="15" s="1"/>
  <c r="F24" i="15"/>
  <c r="G24" i="15" s="1"/>
  <c r="K82" i="4"/>
  <c r="H27" i="9"/>
  <c r="H42" i="9" s="1"/>
  <c r="U15" i="23"/>
  <c r="F43" i="15"/>
  <c r="G43" i="15" s="1"/>
  <c r="S17" i="23"/>
  <c r="T17" i="23" s="1"/>
  <c r="F48" i="15"/>
  <c r="G48" i="15" s="1"/>
  <c r="K15" i="8"/>
  <c r="F27" i="9"/>
  <c r="F21" i="15"/>
  <c r="G21" i="15" s="1"/>
  <c r="U16" i="23"/>
  <c r="F112" i="3"/>
  <c r="F88" i="15"/>
  <c r="G88" i="15" s="1"/>
  <c r="F20" i="15"/>
  <c r="G20" i="15" s="1"/>
  <c r="N15" i="8"/>
  <c r="G15" i="8"/>
  <c r="C33" i="16"/>
  <c r="C35" i="16" s="1"/>
  <c r="J82" i="4"/>
  <c r="F15" i="8"/>
  <c r="O82" i="4"/>
  <c r="P27" i="9"/>
  <c r="Q27" i="16"/>
  <c r="Q29" i="16" s="1"/>
  <c r="F38" i="15"/>
  <c r="G38" i="15" s="1"/>
  <c r="F82" i="4"/>
  <c r="F70" i="15"/>
  <c r="G70" i="15" s="1"/>
  <c r="F59" i="15"/>
  <c r="G59" i="15" s="1"/>
  <c r="F103" i="15"/>
  <c r="G103" i="15" s="1"/>
  <c r="F92" i="15"/>
  <c r="G92" i="15" s="1"/>
  <c r="J112" i="3"/>
  <c r="D82" i="4"/>
  <c r="L42" i="9"/>
  <c r="U32" i="23"/>
  <c r="U30" i="23"/>
  <c r="U31" i="23"/>
  <c r="U33" i="23"/>
  <c r="H112" i="3"/>
  <c r="F57" i="15"/>
  <c r="G57" i="15" s="1"/>
  <c r="F25" i="15"/>
  <c r="G25" i="15" s="1"/>
  <c r="F101" i="15"/>
  <c r="G101" i="15" s="1"/>
  <c r="F90" i="15"/>
  <c r="G90" i="15" s="1"/>
  <c r="I27" i="16"/>
  <c r="F45" i="15"/>
  <c r="G45" i="15" s="1"/>
  <c r="H29" i="16"/>
  <c r="U34" i="23" a="1"/>
  <c r="U34" i="23" s="1"/>
  <c r="F99" i="15"/>
  <c r="G99" i="15" s="1"/>
  <c r="F54" i="15"/>
  <c r="G54" i="15" s="1"/>
  <c r="F22" i="15"/>
  <c r="G22" i="15" s="1"/>
  <c r="L27" i="16"/>
  <c r="L29" i="16" s="1"/>
  <c r="F32" i="15"/>
  <c r="G32" i="15" s="1"/>
  <c r="P82" i="4"/>
  <c r="K21" i="16"/>
  <c r="D21" i="16"/>
  <c r="F74" i="15"/>
  <c r="G74" i="15" s="1"/>
  <c r="C21" i="16"/>
  <c r="M86" i="4"/>
  <c r="N82" i="4"/>
  <c r="O27" i="9"/>
  <c r="O42" i="9" s="1"/>
  <c r="I22" i="9"/>
  <c r="F63" i="15"/>
  <c r="G63" i="15" s="1"/>
  <c r="Q21" i="16"/>
  <c r="Q39" i="16" s="1"/>
  <c r="L12" i="16"/>
  <c r="F19" i="15"/>
  <c r="G19" i="15" s="1"/>
  <c r="D33" i="16"/>
  <c r="D35" i="16" s="1"/>
  <c r="O21" i="16"/>
  <c r="O23" i="16" s="1"/>
  <c r="C112" i="3"/>
  <c r="L78" i="4"/>
  <c r="E78" i="4"/>
  <c r="F67" i="15"/>
  <c r="G67" i="15" s="1"/>
  <c r="P10" i="8"/>
  <c r="I86" i="4"/>
  <c r="C78" i="4"/>
  <c r="L15" i="8"/>
  <c r="K27" i="9"/>
  <c r="K42" i="9" s="1"/>
  <c r="M22" i="9"/>
  <c r="F75" i="15"/>
  <c r="G75" i="15" s="1"/>
  <c r="N86" i="4"/>
  <c r="G86" i="4"/>
  <c r="F65" i="15"/>
  <c r="G65" i="15" s="1"/>
  <c r="G27" i="16"/>
  <c r="G29" i="16" s="1"/>
  <c r="P21" i="16"/>
  <c r="P39" i="16" s="1"/>
  <c r="F64" i="15"/>
  <c r="G64" i="15" s="1"/>
  <c r="L86" i="4"/>
  <c r="E86" i="4"/>
  <c r="G27" i="9"/>
  <c r="F100" i="15"/>
  <c r="G100" i="15" s="1"/>
  <c r="E27" i="16"/>
  <c r="F44" i="15"/>
  <c r="G44" i="15" s="1"/>
  <c r="D27" i="16"/>
  <c r="D29" i="16" s="1"/>
  <c r="M21" i="16"/>
  <c r="D50" i="20"/>
  <c r="J86" i="4"/>
  <c r="C86" i="4"/>
  <c r="D78" i="4"/>
  <c r="E27" i="9"/>
  <c r="E42" i="9" s="1"/>
  <c r="O22" i="9"/>
  <c r="O39" i="9" s="1"/>
  <c r="Q33" i="16"/>
  <c r="Q35" i="16" s="1"/>
  <c r="J33" i="16"/>
  <c r="J35" i="16" s="1"/>
  <c r="Q78" i="4"/>
  <c r="E10" i="8"/>
  <c r="C27" i="9"/>
  <c r="C42" i="9" s="1"/>
  <c r="D21" i="1" s="1"/>
  <c r="E21" i="1" s="1"/>
  <c r="F82" i="15"/>
  <c r="G82" i="15" s="1"/>
  <c r="F62" i="15"/>
  <c r="G62" i="15" s="1"/>
  <c r="F33" i="15"/>
  <c r="G33" i="15" s="1"/>
  <c r="F14" i="15"/>
  <c r="G14" i="15" s="1"/>
  <c r="I33" i="16"/>
  <c r="I35" i="16" s="1"/>
  <c r="P27" i="16"/>
  <c r="F61" i="15"/>
  <c r="G61" i="15" s="1"/>
  <c r="F42" i="15"/>
  <c r="G42" i="15" s="1"/>
  <c r="O35" i="16"/>
  <c r="H33" i="16"/>
  <c r="H35" i="16" s="1"/>
  <c r="M29" i="16"/>
  <c r="O27" i="16"/>
  <c r="O29" i="16" s="1"/>
  <c r="J10" i="8"/>
  <c r="F86" i="15"/>
  <c r="G86" i="15" s="1"/>
  <c r="G33" i="16"/>
  <c r="G35" i="16" s="1"/>
  <c r="F33" i="16"/>
  <c r="F35" i="16" s="1"/>
  <c r="E82" i="4"/>
  <c r="M78" i="4"/>
  <c r="F85" i="15"/>
  <c r="G85" i="15" s="1"/>
  <c r="E33" i="16"/>
  <c r="E35" i="16" s="1"/>
  <c r="K27" i="16"/>
  <c r="P112" i="3"/>
  <c r="Q86" i="4"/>
  <c r="F10" i="8"/>
  <c r="F17" i="8" s="1"/>
  <c r="F23" i="8" s="1"/>
  <c r="F40" i="15"/>
  <c r="G40" i="15" s="1"/>
  <c r="O86" i="4"/>
  <c r="F78" i="15"/>
  <c r="G78" i="15" s="1"/>
  <c r="F49" i="15"/>
  <c r="G49" i="15" s="1"/>
  <c r="L112" i="3"/>
  <c r="G78" i="4"/>
  <c r="P15" i="8"/>
  <c r="P17" i="8" s="1"/>
  <c r="P23" i="8" s="1"/>
  <c r="Q37" i="8"/>
  <c r="D34" i="19"/>
  <c r="D24" i="19"/>
  <c r="D32" i="19"/>
  <c r="D38" i="19"/>
  <c r="D36" i="19"/>
  <c r="C14" i="9"/>
  <c r="C31" i="9" s="1"/>
  <c r="R32" i="8"/>
  <c r="F42" i="9"/>
  <c r="H14" i="9"/>
  <c r="H31" i="9" s="1"/>
  <c r="C10" i="8"/>
  <c r="K22" i="9"/>
  <c r="K39" i="9" s="1"/>
  <c r="E37" i="8"/>
  <c r="J37" i="8"/>
  <c r="D14" i="9"/>
  <c r="D31" i="9" s="1"/>
  <c r="F14" i="9"/>
  <c r="N22" i="9"/>
  <c r="N29" i="9" s="1"/>
  <c r="N32" i="9" s="1"/>
  <c r="G22" i="9"/>
  <c r="G29" i="9" s="1"/>
  <c r="G32" i="9" s="1"/>
  <c r="C37" i="8"/>
  <c r="Q10" i="8"/>
  <c r="P42" i="9"/>
  <c r="D17" i="19"/>
  <c r="O10" i="8"/>
  <c r="N10" i="8"/>
  <c r="F102" i="15"/>
  <c r="G102" i="15" s="1"/>
  <c r="D86" i="4"/>
  <c r="L10" i="8"/>
  <c r="F91" i="15"/>
  <c r="G91" i="15" s="1"/>
  <c r="R29" i="8"/>
  <c r="R8" i="8"/>
  <c r="K14" i="9"/>
  <c r="K31" i="9" s="1"/>
  <c r="I37" i="8"/>
  <c r="N37" i="8"/>
  <c r="G37" i="8"/>
  <c r="Q15" i="8"/>
  <c r="O78" i="4"/>
  <c r="R36" i="8"/>
  <c r="F37" i="8"/>
  <c r="P22" i="9"/>
  <c r="P29" i="9" s="1"/>
  <c r="P32" i="9" s="1"/>
  <c r="H37" i="8"/>
  <c r="J42" i="9"/>
  <c r="F26" i="20"/>
  <c r="F32" i="20" s="1"/>
  <c r="F33" i="20" s="1"/>
  <c r="Q112" i="3"/>
  <c r="L37" i="8"/>
  <c r="O15" i="8"/>
  <c r="D10" i="8"/>
  <c r="Q27" i="9"/>
  <c r="Q42" i="9" s="1"/>
  <c r="P86" i="4"/>
  <c r="M112" i="3"/>
  <c r="H78" i="4"/>
  <c r="R42" i="8"/>
  <c r="R43" i="8" s="1"/>
  <c r="M10" i="8"/>
  <c r="D27" i="9"/>
  <c r="D42" i="9" s="1"/>
  <c r="F46" i="20"/>
  <c r="N78" i="4"/>
  <c r="H15" i="8"/>
  <c r="E14" i="9"/>
  <c r="E31" i="9" s="1"/>
  <c r="F78" i="4"/>
  <c r="D37" i="8"/>
  <c r="H86" i="4"/>
  <c r="Q82" i="4"/>
  <c r="G42" i="9"/>
  <c r="F98" i="15"/>
  <c r="G98" i="15" s="1"/>
  <c r="D37" i="16"/>
  <c r="D40" i="16" s="1"/>
  <c r="M23" i="16"/>
  <c r="M39" i="16"/>
  <c r="I112" i="3"/>
  <c r="P37" i="8"/>
  <c r="M15" i="8"/>
  <c r="D15" i="8"/>
  <c r="H10" i="8"/>
  <c r="M27" i="9"/>
  <c r="M29" i="9" s="1"/>
  <c r="M32" i="9" s="1"/>
  <c r="D42" i="20"/>
  <c r="K86" i="4"/>
  <c r="F104" i="15"/>
  <c r="G104" i="15" s="1"/>
  <c r="K78" i="4"/>
  <c r="P14" i="9"/>
  <c r="P31" i="9" s="1"/>
  <c r="F96" i="15"/>
  <c r="G96" i="15" s="1"/>
  <c r="D44" i="20"/>
  <c r="P78" i="4"/>
  <c r="I78" i="4"/>
  <c r="J15" i="8"/>
  <c r="Q22" i="9"/>
  <c r="Q39" i="9" s="1"/>
  <c r="J22" i="9"/>
  <c r="J29" i="9" s="1"/>
  <c r="J32" i="9" s="1"/>
  <c r="C22" i="9"/>
  <c r="C39" i="9" s="1"/>
  <c r="D20" i="1" s="1"/>
  <c r="E20" i="1" s="1"/>
  <c r="F106" i="15"/>
  <c r="G106" i="15" s="1"/>
  <c r="F13" i="15"/>
  <c r="G13" i="15" s="1"/>
  <c r="G12" i="16"/>
  <c r="G14" i="16" s="1"/>
  <c r="F56" i="15"/>
  <c r="G56" i="15" s="1"/>
  <c r="F12" i="16"/>
  <c r="F14" i="16" s="1"/>
  <c r="F105" i="15"/>
  <c r="G105" i="15" s="1"/>
  <c r="L14" i="16"/>
  <c r="E12" i="16"/>
  <c r="E14" i="16" s="1"/>
  <c r="F73" i="15"/>
  <c r="G73" i="15" s="1"/>
  <c r="F55" i="15"/>
  <c r="G55" i="15" s="1"/>
  <c r="F47" i="15"/>
  <c r="G47" i="15" s="1"/>
  <c r="C12" i="16"/>
  <c r="C14" i="16" s="1"/>
  <c r="R8" i="16"/>
  <c r="F46" i="15"/>
  <c r="G46" i="15" s="1"/>
  <c r="Q12" i="16"/>
  <c r="Q14" i="16" s="1"/>
  <c r="L21" i="16"/>
  <c r="L23" i="16" s="1"/>
  <c r="P12" i="16"/>
  <c r="P14" i="16" s="1"/>
  <c r="F80" i="15"/>
  <c r="G80" i="15" s="1"/>
  <c r="O12" i="16"/>
  <c r="O14" i="16" s="1"/>
  <c r="F71" i="15"/>
  <c r="G71" i="15" s="1"/>
  <c r="F36" i="15"/>
  <c r="G36" i="15" s="1"/>
  <c r="N12" i="16"/>
  <c r="N14" i="16" s="1"/>
  <c r="M12" i="16"/>
  <c r="M14" i="16" s="1"/>
  <c r="F35" i="15"/>
  <c r="G35" i="15" s="1"/>
  <c r="F27" i="15"/>
  <c r="G27" i="15" s="1"/>
  <c r="F18" i="15"/>
  <c r="G18" i="15" s="1"/>
  <c r="R11" i="16"/>
  <c r="D12" i="16"/>
  <c r="D14" i="16" s="1"/>
  <c r="R9" i="16"/>
  <c r="F34" i="15"/>
  <c r="G34" i="15" s="1"/>
  <c r="F26" i="15"/>
  <c r="G26" i="15" s="1"/>
  <c r="I12" i="16"/>
  <c r="I14" i="16" s="1"/>
  <c r="F77" i="15"/>
  <c r="G77" i="15" s="1"/>
  <c r="F69" i="15"/>
  <c r="G69" i="15" s="1"/>
  <c r="E21" i="16"/>
  <c r="E23" i="16" s="1"/>
  <c r="F60" i="15"/>
  <c r="G60" i="15" s="1"/>
  <c r="F27" i="16"/>
  <c r="F29" i="16" s="1"/>
  <c r="R7" i="16"/>
  <c r="F68" i="15"/>
  <c r="G68" i="15" s="1"/>
  <c r="F51" i="15"/>
  <c r="G51" i="15" s="1"/>
  <c r="J21" i="16"/>
  <c r="J23" i="16" s="1"/>
  <c r="P33" i="16"/>
  <c r="P35" i="16" s="1"/>
  <c r="I21" i="16"/>
  <c r="I23" i="16" s="1"/>
  <c r="C27" i="16"/>
  <c r="C29" i="16" s="1"/>
  <c r="H21" i="16"/>
  <c r="H23" i="16" s="1"/>
  <c r="K12" i="16"/>
  <c r="K14" i="16" s="1"/>
  <c r="R10" i="16"/>
  <c r="F23" i="15"/>
  <c r="G23" i="15" s="1"/>
  <c r="F15" i="15"/>
  <c r="G15" i="15" s="1"/>
  <c r="N33" i="16"/>
  <c r="N37" i="16" s="1"/>
  <c r="N40" i="16" s="1"/>
  <c r="N21" i="16"/>
  <c r="N39" i="16" s="1"/>
  <c r="G21" i="16"/>
  <c r="G39" i="16" s="1"/>
  <c r="J12" i="16"/>
  <c r="J14" i="16" s="1"/>
  <c r="F97" i="15"/>
  <c r="G97" i="15" s="1"/>
  <c r="F58" i="15"/>
  <c r="G58" i="15" s="1"/>
  <c r="M33" i="16"/>
  <c r="M35" i="16" s="1"/>
  <c r="F21" i="16"/>
  <c r="F23" i="16" s="1"/>
  <c r="D38" i="20"/>
  <c r="D23" i="20"/>
  <c r="I39" i="9"/>
  <c r="D22" i="20"/>
  <c r="R9" i="8"/>
  <c r="K10" i="8"/>
  <c r="K17" i="8" s="1"/>
  <c r="K23" i="8" s="1"/>
  <c r="K23" i="16"/>
  <c r="K39" i="16"/>
  <c r="D23" i="16"/>
  <c r="D39" i="16"/>
  <c r="D35" i="19"/>
  <c r="D23" i="19"/>
  <c r="G46" i="20"/>
  <c r="G26" i="20"/>
  <c r="G32" i="20" s="1"/>
  <c r="J78" i="4"/>
  <c r="R27" i="8"/>
  <c r="R13" i="8"/>
  <c r="C15" i="8"/>
  <c r="O14" i="9"/>
  <c r="O112" i="3"/>
  <c r="F86" i="4"/>
  <c r="C21" i="8"/>
  <c r="R20" i="8"/>
  <c r="R21" i="8" s="1"/>
  <c r="I10" i="8"/>
  <c r="I17" i="8" s="1"/>
  <c r="I23" i="8" s="1"/>
  <c r="N14" i="9"/>
  <c r="D15" i="19"/>
  <c r="R34" i="8"/>
  <c r="J14" i="9"/>
  <c r="R31" i="8"/>
  <c r="I14" i="9"/>
  <c r="E29" i="16"/>
  <c r="C23" i="16"/>
  <c r="C39" i="16"/>
  <c r="F89" i="15"/>
  <c r="G89" i="15" s="1"/>
  <c r="D41" i="20"/>
  <c r="D30" i="20"/>
  <c r="G112" i="3"/>
  <c r="H22" i="9"/>
  <c r="M14" i="9"/>
  <c r="R28" i="8"/>
  <c r="R14" i="8"/>
  <c r="R7" i="8"/>
  <c r="E12" i="19"/>
  <c r="D30" i="19"/>
  <c r="D44" i="19"/>
  <c r="I27" i="9"/>
  <c r="I42" i="9" s="1"/>
  <c r="P39" i="9"/>
  <c r="G14" i="9"/>
  <c r="D33" i="19"/>
  <c r="D18" i="19"/>
  <c r="I82" i="4"/>
  <c r="O37" i="8"/>
  <c r="N39" i="9"/>
  <c r="P29" i="16"/>
  <c r="E112" i="3"/>
  <c r="F22" i="9"/>
  <c r="D37" i="19"/>
  <c r="D40" i="20"/>
  <c r="D29" i="20"/>
  <c r="G82" i="4"/>
  <c r="R35" i="8"/>
  <c r="M37" i="8"/>
  <c r="L22" i="9"/>
  <c r="E22" i="9"/>
  <c r="L39" i="16"/>
  <c r="F95" i="15"/>
  <c r="G95" i="15" s="1"/>
  <c r="F87" i="15"/>
  <c r="G87" i="15" s="1"/>
  <c r="K29" i="16"/>
  <c r="K37" i="16"/>
  <c r="K40" i="16" s="1"/>
  <c r="M39" i="9"/>
  <c r="F94" i="15"/>
  <c r="G94" i="15" s="1"/>
  <c r="D31" i="19"/>
  <c r="D16" i="19"/>
  <c r="R33" i="8"/>
  <c r="E15" i="8"/>
  <c r="D22" i="9"/>
  <c r="Q14" i="9"/>
  <c r="F93" i="15"/>
  <c r="G93" i="15" s="1"/>
  <c r="K37" i="8"/>
  <c r="D39" i="20"/>
  <c r="D24" i="20"/>
  <c r="R26" i="8"/>
  <c r="D37" i="20"/>
  <c r="R30" i="8"/>
  <c r="E46" i="20"/>
  <c r="D36" i="20"/>
  <c r="D21" i="20"/>
  <c r="E26" i="20"/>
  <c r="E32" i="20" s="1"/>
  <c r="D43" i="20"/>
  <c r="G10" i="8"/>
  <c r="L14" i="9"/>
  <c r="J29" i="16"/>
  <c r="I29" i="16"/>
  <c r="Q23" i="16"/>
  <c r="H12" i="16"/>
  <c r="H14" i="16" s="1"/>
  <c r="I37" i="16" l="1"/>
  <c r="I40" i="16" s="1"/>
  <c r="H36" i="9"/>
  <c r="C17" i="8"/>
  <c r="O37" i="16"/>
  <c r="O40" i="16" s="1"/>
  <c r="H37" i="16"/>
  <c r="H40" i="16" s="1"/>
  <c r="D17" i="8"/>
  <c r="D23" i="8" s="1"/>
  <c r="M42" i="9"/>
  <c r="G17" i="8"/>
  <c r="G23" i="8" s="1"/>
  <c r="E37" i="16"/>
  <c r="E40" i="16" s="1"/>
  <c r="J17" i="8"/>
  <c r="J23" i="8" s="1"/>
  <c r="O29" i="9"/>
  <c r="O32" i="9" s="1"/>
  <c r="L17" i="8"/>
  <c r="L23" i="8" s="1"/>
  <c r="L39" i="8" s="1"/>
  <c r="L45" i="8" s="1"/>
  <c r="L48" i="8" s="1"/>
  <c r="S18" i="23"/>
  <c r="T18" i="23" s="1"/>
  <c r="C37" i="16"/>
  <c r="C40" i="16" s="1"/>
  <c r="N17" i="8"/>
  <c r="N23" i="8" s="1"/>
  <c r="N39" i="8" s="1"/>
  <c r="N45" i="8" s="1"/>
  <c r="N48" i="8" s="1"/>
  <c r="U17" i="23"/>
  <c r="I39" i="16"/>
  <c r="L37" i="16"/>
  <c r="L40" i="16" s="1"/>
  <c r="J39" i="16"/>
  <c r="P23" i="16"/>
  <c r="G23" i="16"/>
  <c r="C23" i="8"/>
  <c r="C39" i="8" s="1"/>
  <c r="C45" i="8" s="1"/>
  <c r="C48" i="8" s="1"/>
  <c r="D18" i="1" s="1"/>
  <c r="E18" i="1" s="1"/>
  <c r="G39" i="9"/>
  <c r="D36" i="9"/>
  <c r="S19" i="23"/>
  <c r="K36" i="9"/>
  <c r="E17" i="8"/>
  <c r="E23" i="8" s="1"/>
  <c r="E39" i="8" s="1"/>
  <c r="E45" i="8" s="1"/>
  <c r="E48" i="8" s="1"/>
  <c r="O39" i="16"/>
  <c r="J37" i="16"/>
  <c r="J40" i="16" s="1"/>
  <c r="C36" i="9"/>
  <c r="D19" i="1" s="1"/>
  <c r="E19" i="1" s="1"/>
  <c r="Q37" i="16"/>
  <c r="Q40" i="16" s="1"/>
  <c r="I39" i="8"/>
  <c r="I45" i="8" s="1"/>
  <c r="I48" i="8" s="1"/>
  <c r="C29" i="9"/>
  <c r="C32" i="9" s="1"/>
  <c r="P36" i="9"/>
  <c r="G37" i="16"/>
  <c r="E39" i="16"/>
  <c r="F39" i="16"/>
  <c r="H41" i="16"/>
  <c r="D41" i="16"/>
  <c r="F39" i="8"/>
  <c r="F45" i="8" s="1"/>
  <c r="F48" i="8" s="1"/>
  <c r="D39" i="8"/>
  <c r="D45" i="8" s="1"/>
  <c r="D48" i="8" s="1"/>
  <c r="R12" i="16"/>
  <c r="R14" i="16" s="1"/>
  <c r="F37" i="16"/>
  <c r="F40" i="16" s="1"/>
  <c r="H17" i="8"/>
  <c r="H23" i="8" s="1"/>
  <c r="H39" i="8" s="1"/>
  <c r="H45" i="8" s="1"/>
  <c r="H48" i="8" s="1"/>
  <c r="I29" i="9"/>
  <c r="I32" i="9" s="1"/>
  <c r="F48" i="20"/>
  <c r="F52" i="20" s="1"/>
  <c r="R37" i="8"/>
  <c r="J39" i="8"/>
  <c r="J45" i="8" s="1"/>
  <c r="J48" i="8" s="1"/>
  <c r="G39" i="8"/>
  <c r="G45" i="8" s="1"/>
  <c r="G48" i="8" s="1"/>
  <c r="H39" i="16"/>
  <c r="F36" i="9"/>
  <c r="F31" i="9"/>
  <c r="K29" i="9"/>
  <c r="K32" i="9" s="1"/>
  <c r="M37" i="16"/>
  <c r="M40" i="16" s="1"/>
  <c r="O17" i="8"/>
  <c r="O23" i="8" s="1"/>
  <c r="O39" i="8" s="1"/>
  <c r="O45" i="8" s="1"/>
  <c r="O48" i="8" s="1"/>
  <c r="E36" i="9"/>
  <c r="D40" i="19"/>
  <c r="N23" i="16"/>
  <c r="R10" i="8"/>
  <c r="N35" i="16"/>
  <c r="D8" i="15"/>
  <c r="D13" i="1" s="1"/>
  <c r="D10" i="15"/>
  <c r="D15" i="1" s="1"/>
  <c r="J39" i="9"/>
  <c r="Q29" i="9"/>
  <c r="Q32" i="9" s="1"/>
  <c r="P39" i="8"/>
  <c r="P45" i="8" s="1"/>
  <c r="P48" i="8" s="1"/>
  <c r="Q17" i="8"/>
  <c r="Q23" i="8" s="1"/>
  <c r="Q39" i="8" s="1"/>
  <c r="Q45" i="8" s="1"/>
  <c r="Q48" i="8" s="1"/>
  <c r="P37" i="16"/>
  <c r="P40" i="16" s="1"/>
  <c r="M17" i="8"/>
  <c r="M23" i="8" s="1"/>
  <c r="R15" i="8"/>
  <c r="D9" i="15"/>
  <c r="D14" i="1" s="1"/>
  <c r="D46" i="20"/>
  <c r="O33" i="9"/>
  <c r="O36" i="9"/>
  <c r="O31" i="9"/>
  <c r="L36" i="9"/>
  <c r="L31" i="9"/>
  <c r="P41" i="16"/>
  <c r="E39" i="9"/>
  <c r="E29" i="9"/>
  <c r="M33" i="9"/>
  <c r="M36" i="9"/>
  <c r="M31" i="9"/>
  <c r="F29" i="9"/>
  <c r="F39" i="9"/>
  <c r="Q36" i="9"/>
  <c r="Q31" i="9"/>
  <c r="G48" i="20"/>
  <c r="G52" i="20" s="1"/>
  <c r="G33" i="20"/>
  <c r="D26" i="20"/>
  <c r="D32" i="20" s="1"/>
  <c r="L29" i="9"/>
  <c r="L32" i="9" s="1"/>
  <c r="L39" i="9"/>
  <c r="H29" i="9"/>
  <c r="H39" i="9"/>
  <c r="D6" i="15"/>
  <c r="D11" i="1" s="1"/>
  <c r="I41" i="16"/>
  <c r="K33" i="9"/>
  <c r="M39" i="8"/>
  <c r="M45" i="8" s="1"/>
  <c r="M48" i="8" s="1"/>
  <c r="I36" i="9"/>
  <c r="I31" i="9"/>
  <c r="D20" i="19"/>
  <c r="D26" i="19" s="1"/>
  <c r="K41" i="16"/>
  <c r="G36" i="9"/>
  <c r="G31" i="9"/>
  <c r="G33" i="9"/>
  <c r="C41" i="16"/>
  <c r="N31" i="9"/>
  <c r="N33" i="9"/>
  <c r="N36" i="9"/>
  <c r="E30" i="19"/>
  <c r="E44" i="19"/>
  <c r="E15" i="19"/>
  <c r="E32" i="19"/>
  <c r="E17" i="19"/>
  <c r="E34" i="19"/>
  <c r="E36" i="19"/>
  <c r="E24" i="19"/>
  <c r="E38" i="19"/>
  <c r="E31" i="19"/>
  <c r="E16" i="19"/>
  <c r="E33" i="19"/>
  <c r="E18" i="19"/>
  <c r="E35" i="19"/>
  <c r="E23" i="19"/>
  <c r="E37" i="19"/>
  <c r="F12" i="19"/>
  <c r="D29" i="9"/>
  <c r="D39" i="9"/>
  <c r="E48" i="20"/>
  <c r="E52" i="20" s="1"/>
  <c r="E33" i="20"/>
  <c r="J33" i="9"/>
  <c r="J31" i="9"/>
  <c r="J36" i="9"/>
  <c r="N41" i="16"/>
  <c r="K39" i="8"/>
  <c r="K45" i="8" s="1"/>
  <c r="K48" i="8" s="1"/>
  <c r="P33" i="9"/>
  <c r="E41" i="16" l="1"/>
  <c r="L41" i="16"/>
  <c r="U18" i="23"/>
  <c r="I33" i="9"/>
  <c r="M41" i="16"/>
  <c r="Q41" i="16"/>
  <c r="C33" i="9"/>
  <c r="D22" i="1" s="1"/>
  <c r="E22" i="1" s="1"/>
  <c r="O41" i="16"/>
  <c r="F41" i="16"/>
  <c r="R17" i="8"/>
  <c r="R23" i="8" s="1"/>
  <c r="R39" i="8" s="1"/>
  <c r="R45" i="8" s="1"/>
  <c r="R48" i="8" s="1"/>
  <c r="J41" i="16"/>
  <c r="S20" i="23"/>
  <c r="T19" i="23"/>
  <c r="U19" i="23"/>
  <c r="G40" i="16"/>
  <c r="G41" i="16"/>
  <c r="L33" i="9"/>
  <c r="Q33" i="9"/>
  <c r="G12" i="19"/>
  <c r="F23" i="19"/>
  <c r="F37" i="19"/>
  <c r="F15" i="19"/>
  <c r="F30" i="19"/>
  <c r="F35" i="19"/>
  <c r="F17" i="19"/>
  <c r="F32" i="19"/>
  <c r="F44" i="19"/>
  <c r="F24" i="19"/>
  <c r="F36" i="19"/>
  <c r="F38" i="19"/>
  <c r="F18" i="19"/>
  <c r="F33" i="19"/>
  <c r="F34" i="19"/>
  <c r="F16" i="19"/>
  <c r="F31" i="19"/>
  <c r="E32" i="9"/>
  <c r="E33" i="9"/>
  <c r="D42" i="19"/>
  <c r="D46" i="19" s="1"/>
  <c r="D47" i="19" s="1"/>
  <c r="D27" i="19"/>
  <c r="F32" i="9"/>
  <c r="F33" i="9"/>
  <c r="E20" i="19"/>
  <c r="E26" i="19" s="1"/>
  <c r="H32" i="9"/>
  <c r="H33" i="9"/>
  <c r="E40" i="19"/>
  <c r="D33" i="20"/>
  <c r="D48" i="20"/>
  <c r="D52" i="20" s="1"/>
  <c r="D32" i="9"/>
  <c r="D33" i="9"/>
  <c r="S21" i="23" l="1"/>
  <c r="T20" i="23"/>
  <c r="U20" i="23"/>
  <c r="F40" i="19"/>
  <c r="F20" i="19"/>
  <c r="F26" i="19" s="1"/>
  <c r="E27" i="19"/>
  <c r="E42" i="19"/>
  <c r="E46" i="19" s="1"/>
  <c r="E47" i="19" s="1"/>
  <c r="G30" i="19"/>
  <c r="G44" i="19"/>
  <c r="G15" i="19"/>
  <c r="G32" i="19"/>
  <c r="G17" i="19"/>
  <c r="G34" i="19"/>
  <c r="G36" i="19"/>
  <c r="G24" i="19"/>
  <c r="G38" i="19"/>
  <c r="G31" i="19"/>
  <c r="G16" i="19"/>
  <c r="G33" i="19"/>
  <c r="G18" i="19"/>
  <c r="G35" i="19"/>
  <c r="G23" i="19"/>
  <c r="G37" i="19"/>
  <c r="H12" i="19"/>
  <c r="U21" i="23" l="1"/>
  <c r="T21" i="23"/>
  <c r="S22" i="23"/>
  <c r="I12" i="19"/>
  <c r="H23" i="19"/>
  <c r="H37" i="19"/>
  <c r="H18" i="19"/>
  <c r="H35" i="19"/>
  <c r="H15" i="19"/>
  <c r="H30" i="19"/>
  <c r="H17" i="19"/>
  <c r="H32" i="19"/>
  <c r="H44" i="19"/>
  <c r="H33" i="19"/>
  <c r="H38" i="19"/>
  <c r="H34" i="19"/>
  <c r="H16" i="19"/>
  <c r="H31" i="19"/>
  <c r="H24" i="19"/>
  <c r="H36" i="19"/>
  <c r="G20" i="19"/>
  <c r="G26" i="19" s="1"/>
  <c r="G40" i="19"/>
  <c r="F27" i="19"/>
  <c r="F42" i="19"/>
  <c r="F46" i="19" s="1"/>
  <c r="F47" i="19" s="1"/>
  <c r="T22" i="23" l="1"/>
  <c r="U22" i="23"/>
  <c r="S23" i="23"/>
  <c r="H40" i="19"/>
  <c r="H20" i="19"/>
  <c r="H26" i="19" s="1"/>
  <c r="G27" i="19"/>
  <c r="G42" i="19"/>
  <c r="G46" i="19" s="1"/>
  <c r="G47" i="19" s="1"/>
  <c r="I23" i="19"/>
  <c r="I37" i="19"/>
  <c r="I30" i="19"/>
  <c r="I44" i="19"/>
  <c r="I15" i="19"/>
  <c r="I32" i="19"/>
  <c r="I17" i="19"/>
  <c r="I34" i="19"/>
  <c r="I36" i="19"/>
  <c r="I24" i="19"/>
  <c r="I38" i="19"/>
  <c r="I31" i="19"/>
  <c r="I16" i="19"/>
  <c r="I33" i="19"/>
  <c r="I18" i="19"/>
  <c r="I35" i="19"/>
  <c r="J12" i="19"/>
  <c r="T23" i="23" l="1"/>
  <c r="U23" i="23"/>
  <c r="S24" i="23"/>
  <c r="I20" i="19"/>
  <c r="I26" i="19" s="1"/>
  <c r="I40" i="19"/>
  <c r="K12" i="19"/>
  <c r="J18" i="19"/>
  <c r="J35" i="19"/>
  <c r="J16" i="19"/>
  <c r="J33" i="19"/>
  <c r="J34" i="19"/>
  <c r="J23" i="19"/>
  <c r="J24" i="19"/>
  <c r="J36" i="19"/>
  <c r="J31" i="19"/>
  <c r="J37" i="19"/>
  <c r="J17" i="19"/>
  <c r="J32" i="19"/>
  <c r="J44" i="19"/>
  <c r="J38" i="19"/>
  <c r="J15" i="19"/>
  <c r="J30" i="19"/>
  <c r="H27" i="19"/>
  <c r="H42" i="19"/>
  <c r="H46" i="19" s="1"/>
  <c r="H47" i="19" s="1"/>
  <c r="T24" i="23" l="1"/>
  <c r="U24" i="23"/>
  <c r="S25" i="23"/>
  <c r="J40" i="19"/>
  <c r="J20" i="19"/>
  <c r="J26" i="19" s="1"/>
  <c r="K18" i="19"/>
  <c r="K35" i="19"/>
  <c r="K23" i="19"/>
  <c r="K37" i="19"/>
  <c r="K30" i="19"/>
  <c r="K44" i="19"/>
  <c r="K15" i="19"/>
  <c r="K32" i="19"/>
  <c r="K17" i="19"/>
  <c r="K34" i="19"/>
  <c r="K36" i="19"/>
  <c r="K24" i="19"/>
  <c r="K38" i="19"/>
  <c r="K31" i="19"/>
  <c r="L12" i="19"/>
  <c r="K16" i="19"/>
  <c r="K33" i="19"/>
  <c r="I27" i="19"/>
  <c r="I42" i="19"/>
  <c r="I46" i="19" s="1"/>
  <c r="I47" i="19" s="1"/>
  <c r="T25" i="23" l="1"/>
  <c r="U25" i="23"/>
  <c r="J42" i="19"/>
  <c r="J46" i="19" s="1"/>
  <c r="J47" i="19" s="1"/>
  <c r="J27" i="19"/>
  <c r="L16" i="19"/>
  <c r="L33" i="19"/>
  <c r="L31" i="19"/>
  <c r="M12" i="19"/>
  <c r="L34" i="19"/>
  <c r="L24" i="19"/>
  <c r="L36" i="19"/>
  <c r="L23" i="19"/>
  <c r="L35" i="19"/>
  <c r="L17" i="19"/>
  <c r="L32" i="19"/>
  <c r="L44" i="19"/>
  <c r="L37" i="19"/>
  <c r="L18" i="19"/>
  <c r="L38" i="19"/>
  <c r="L15" i="19"/>
  <c r="L30" i="19"/>
  <c r="K20" i="19"/>
  <c r="K26" i="19" s="1"/>
  <c r="K40" i="19"/>
  <c r="L40" i="19" l="1"/>
  <c r="L20" i="19"/>
  <c r="L26" i="19" s="1"/>
  <c r="K27" i="19"/>
  <c r="K42" i="19"/>
  <c r="K46" i="19" s="1"/>
  <c r="K47" i="19" s="1"/>
  <c r="M16" i="19"/>
  <c r="M33" i="19"/>
  <c r="M18" i="19"/>
  <c r="M35" i="19"/>
  <c r="M23" i="19"/>
  <c r="M37" i="19"/>
  <c r="M30" i="19"/>
  <c r="M44" i="19"/>
  <c r="M15" i="19"/>
  <c r="M32" i="19"/>
  <c r="M17" i="19"/>
  <c r="M34" i="19"/>
  <c r="M36" i="19"/>
  <c r="M24" i="19"/>
  <c r="M38" i="19"/>
  <c r="N12" i="19"/>
  <c r="M31" i="19"/>
  <c r="O12" i="19" l="1"/>
  <c r="N31" i="19"/>
  <c r="N38" i="19"/>
  <c r="N15" i="19"/>
  <c r="N30" i="19"/>
  <c r="N16" i="19"/>
  <c r="N17" i="19"/>
  <c r="N32" i="19"/>
  <c r="N44" i="19"/>
  <c r="N18" i="19"/>
  <c r="N33" i="19"/>
  <c r="N37" i="19"/>
  <c r="N24" i="19"/>
  <c r="N36" i="19"/>
  <c r="N34" i="19"/>
  <c r="N23" i="19"/>
  <c r="N35" i="19"/>
  <c r="M20" i="19"/>
  <c r="M26" i="19" s="1"/>
  <c r="M40" i="19"/>
  <c r="L27" i="19"/>
  <c r="L42" i="19"/>
  <c r="L46" i="19" s="1"/>
  <c r="L47" i="19" s="1"/>
  <c r="M27" i="19" l="1"/>
  <c r="M42" i="19"/>
  <c r="M46" i="19" s="1"/>
  <c r="M47" i="19" s="1"/>
  <c r="N40" i="19"/>
  <c r="N20" i="19"/>
  <c r="N26" i="19" s="1"/>
  <c r="O31" i="19"/>
  <c r="O16" i="19"/>
  <c r="O33" i="19"/>
  <c r="O18" i="19"/>
  <c r="O35" i="19"/>
  <c r="O23" i="19"/>
  <c r="O37" i="19"/>
  <c r="O30" i="19"/>
  <c r="O44" i="19"/>
  <c r="O15" i="19"/>
  <c r="O32" i="19"/>
  <c r="O17" i="19"/>
  <c r="O34" i="19"/>
  <c r="O36" i="19"/>
  <c r="O24" i="19"/>
  <c r="O38" i="19"/>
  <c r="O40" i="19" l="1"/>
  <c r="O20" i="19"/>
  <c r="O26" i="19" s="1"/>
  <c r="N27" i="19"/>
  <c r="N42" i="19"/>
  <c r="N46" i="19" s="1"/>
  <c r="N47" i="19" s="1"/>
  <c r="O27" i="19" l="1"/>
  <c r="O42" i="19"/>
  <c r="O46" i="19" s="1"/>
  <c r="O47" i="19" s="1"/>
  <c r="D5" i="21" l="1"/>
  <c r="D3" i="27"/>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K32" i="28"/>
  <c r="L32" i="28" s="1"/>
  <c r="I32" i="28"/>
  <c r="C32" i="28"/>
  <c r="K31" i="28"/>
  <c r="L31" i="28" s="1"/>
  <c r="I31" i="28"/>
  <c r="C31" i="28"/>
  <c r="K30" i="28"/>
  <c r="L30" i="28" s="1"/>
  <c r="I30" i="28"/>
  <c r="C30" i="28"/>
  <c r="K29" i="28"/>
  <c r="L29" i="28" s="1"/>
  <c r="I29" i="28"/>
  <c r="C29" i="28"/>
  <c r="K28" i="28"/>
  <c r="L28" i="28" s="1"/>
  <c r="I28" i="28"/>
  <c r="C28" i="28"/>
  <c r="K27" i="28"/>
  <c r="L27" i="28" s="1"/>
  <c r="I27" i="28"/>
  <c r="C27" i="28"/>
  <c r="K26" i="28"/>
  <c r="L26" i="28" s="1"/>
  <c r="I26" i="28"/>
  <c r="C26" i="28"/>
  <c r="K25" i="28"/>
  <c r="L25" i="28" s="1"/>
  <c r="I25" i="28"/>
  <c r="C25" i="28"/>
  <c r="K24" i="28"/>
  <c r="L24" i="28" s="1"/>
  <c r="I24" i="28"/>
  <c r="C24" i="28"/>
  <c r="K23" i="28"/>
  <c r="L23" i="28" s="1"/>
  <c r="I23" i="28"/>
  <c r="C23" i="28"/>
  <c r="K22" i="28"/>
  <c r="L22" i="28" s="1"/>
  <c r="I22" i="28"/>
  <c r="C22" i="28"/>
  <c r="K21" i="28"/>
  <c r="L21" i="28" s="1"/>
  <c r="I21" i="28"/>
  <c r="C21" i="28"/>
  <c r="K20" i="28"/>
  <c r="L20" i="28" s="1"/>
  <c r="I20" i="28"/>
  <c r="C20" i="28"/>
  <c r="K19" i="28"/>
  <c r="L19" i="28" s="1"/>
  <c r="I19" i="28"/>
  <c r="C19" i="28"/>
  <c r="K18" i="28"/>
  <c r="L18" i="28" s="1"/>
  <c r="I18" i="28"/>
  <c r="C18" i="28"/>
  <c r="K17" i="28"/>
  <c r="L17" i="28" s="1"/>
  <c r="I17" i="28"/>
  <c r="C17" i="28"/>
  <c r="K16" i="28"/>
  <c r="L16" i="28" s="1"/>
  <c r="I16" i="28"/>
  <c r="C16" i="28"/>
  <c r="K15" i="28"/>
  <c r="L15" i="28" s="1"/>
  <c r="I15" i="28"/>
  <c r="C15" i="28"/>
  <c r="K14" i="28"/>
  <c r="L14" i="28" s="1"/>
  <c r="I14" i="28"/>
  <c r="C14" i="28"/>
  <c r="K13" i="28"/>
  <c r="L13" i="28" s="1"/>
  <c r="I13" i="28"/>
  <c r="C13" i="28"/>
  <c r="K12" i="28"/>
  <c r="L12" i="28" s="1"/>
  <c r="I12" i="28"/>
  <c r="C12" i="28"/>
  <c r="K11" i="28"/>
  <c r="L11" i="28" s="1"/>
  <c r="I11" i="28"/>
  <c r="C11" i="28"/>
  <c r="N10" i="28"/>
  <c r="P10" i="28" s="1"/>
  <c r="M10" i="28"/>
  <c r="O10" i="28" s="1"/>
  <c r="K10" i="28"/>
  <c r="L10" i="28" s="1"/>
  <c r="I10" i="28"/>
  <c r="E10" i="28"/>
  <c r="E11" i="28" s="1"/>
  <c r="C10" i="28"/>
  <c r="N9" i="28"/>
  <c r="P9" i="28" s="1"/>
  <c r="M9" i="28"/>
  <c r="O9" i="28" s="1"/>
  <c r="K9" i="28"/>
  <c r="L9" i="28" s="1"/>
  <c r="J9" i="28"/>
  <c r="I9" i="28"/>
  <c r="G9" i="28"/>
  <c r="F9" i="28"/>
  <c r="C9" i="28"/>
  <c r="Q7" i="27"/>
  <c r="Q8" i="27" s="1"/>
  <c r="T8" i="27" s="1"/>
  <c r="B3" i="27" a="1"/>
  <c r="B3" i="27" s="1"/>
  <c r="S77" i="23" a="1"/>
  <c r="S77" i="23" s="1"/>
  <c r="T77" i="23" s="1"/>
  <c r="S69" i="23" a="1"/>
  <c r="S69" i="23" s="1"/>
  <c r="T69" i="23" s="1"/>
  <c r="Z55" i="23"/>
  <c r="Z54" i="23"/>
  <c r="Z53" i="23"/>
  <c r="Z52" i="23"/>
  <c r="Z51" i="23"/>
  <c r="Y55" i="23"/>
  <c r="Y54" i="23"/>
  <c r="Y53" i="23"/>
  <c r="Y52" i="23"/>
  <c r="Y51" i="23"/>
  <c r="B3" i="21" a="1"/>
  <c r="B3" i="21" s="1"/>
  <c r="D28" i="21"/>
  <c r="C10" i="21" a="1"/>
  <c r="C10" i="21" s="1"/>
  <c r="T70" i="23" l="1"/>
  <c r="T71" i="23"/>
  <c r="T72" i="23"/>
  <c r="T73" i="23"/>
  <c r="S7" i="27"/>
  <c r="S8" i="27"/>
  <c r="R8" i="27"/>
  <c r="J11" i="28"/>
  <c r="G11" i="28"/>
  <c r="F11" i="28"/>
  <c r="E12" i="28"/>
  <c r="M11" i="28"/>
  <c r="O11" i="28" s="1"/>
  <c r="N11" i="28"/>
  <c r="P11" i="28" s="1"/>
  <c r="G10" i="28"/>
  <c r="J10" i="28"/>
  <c r="F10" i="28"/>
  <c r="R7" i="27"/>
  <c r="T7" i="27"/>
  <c r="T78" i="23"/>
  <c r="T79" i="23"/>
  <c r="T80" i="23"/>
  <c r="T81" i="23"/>
  <c r="Q9" i="27"/>
  <c r="S9" i="27" s="1"/>
  <c r="D21" i="21"/>
  <c r="D26" i="21"/>
  <c r="D31" i="21"/>
  <c r="D35" i="21"/>
  <c r="D36" i="21"/>
  <c r="D15" i="21"/>
  <c r="D16" i="21"/>
  <c r="D17" i="21"/>
  <c r="D27" i="21"/>
  <c r="E12" i="21"/>
  <c r="E36" i="21" s="1"/>
  <c r="E13" i="28" l="1"/>
  <c r="F12" i="28"/>
  <c r="N12" i="28"/>
  <c r="P12" i="28" s="1"/>
  <c r="M12" i="28"/>
  <c r="O12" i="28" s="1"/>
  <c r="J12" i="28"/>
  <c r="G12" i="28"/>
  <c r="T9" i="27"/>
  <c r="R9" i="27"/>
  <c r="Q10" i="27"/>
  <c r="S10" i="27" s="1"/>
  <c r="F12" i="21"/>
  <c r="F36" i="21" s="1"/>
  <c r="E35" i="21"/>
  <c r="E28" i="21"/>
  <c r="E26" i="21"/>
  <c r="E17" i="21"/>
  <c r="E15" i="21"/>
  <c r="E31" i="21"/>
  <c r="E27" i="21"/>
  <c r="E21" i="21"/>
  <c r="E16" i="21"/>
  <c r="D29" i="21"/>
  <c r="D33" i="21" s="1"/>
  <c r="D38" i="21" s="1"/>
  <c r="D39" i="21" s="1"/>
  <c r="D19" i="21"/>
  <c r="D23" i="21" s="1"/>
  <c r="G12" i="21" l="1"/>
  <c r="G36" i="21" s="1"/>
  <c r="F35" i="21"/>
  <c r="F16" i="21"/>
  <c r="F21" i="21"/>
  <c r="F27" i="21"/>
  <c r="F26" i="21"/>
  <c r="F17" i="21"/>
  <c r="F28" i="21"/>
  <c r="F31" i="21"/>
  <c r="F15" i="21"/>
  <c r="E14" i="28"/>
  <c r="N13" i="28"/>
  <c r="P13" i="28" s="1"/>
  <c r="F13" i="28"/>
  <c r="M13" i="28"/>
  <c r="O13" i="28" s="1"/>
  <c r="J13" i="28"/>
  <c r="G13" i="28"/>
  <c r="T10" i="27"/>
  <c r="R10" i="27"/>
  <c r="Q11" i="27"/>
  <c r="S11" i="27" s="1"/>
  <c r="E29" i="21"/>
  <c r="E33" i="21" s="1"/>
  <c r="E38" i="21" s="1"/>
  <c r="E39" i="21" s="1"/>
  <c r="E19" i="21"/>
  <c r="E23" i="21" s="1"/>
  <c r="G27" i="21"/>
  <c r="G21" i="21"/>
  <c r="G16" i="21"/>
  <c r="G35" i="21"/>
  <c r="G15" i="21" l="1"/>
  <c r="G31" i="21"/>
  <c r="G17" i="21"/>
  <c r="G19" i="21" s="1"/>
  <c r="G23" i="21" s="1"/>
  <c r="H12" i="21"/>
  <c r="H36" i="21" s="1"/>
  <c r="G26" i="21"/>
  <c r="G28" i="21"/>
  <c r="F19" i="21"/>
  <c r="F23" i="21" s="1"/>
  <c r="F29" i="21"/>
  <c r="F33" i="21"/>
  <c r="F38" i="21" s="1"/>
  <c r="F39" i="21" s="1"/>
  <c r="N14" i="28"/>
  <c r="P14" i="28" s="1"/>
  <c r="M14" i="28"/>
  <c r="O14" i="28" s="1"/>
  <c r="J14" i="28"/>
  <c r="G14" i="28"/>
  <c r="F14" i="28"/>
  <c r="E15" i="28"/>
  <c r="T11" i="27"/>
  <c r="R11" i="27"/>
  <c r="Q12" i="27"/>
  <c r="S12" i="27" s="1"/>
  <c r="H26" i="21"/>
  <c r="H17" i="21"/>
  <c r="H15" i="21"/>
  <c r="H27" i="21"/>
  <c r="H31" i="21"/>
  <c r="H21" i="21"/>
  <c r="H16" i="21"/>
  <c r="H35" i="21"/>
  <c r="H28" i="21"/>
  <c r="I12" i="21"/>
  <c r="I36" i="21" s="1"/>
  <c r="G29" i="21" l="1"/>
  <c r="G33" i="21" s="1"/>
  <c r="G38" i="21" s="1"/>
  <c r="G39" i="21" s="1"/>
  <c r="E16" i="28"/>
  <c r="J15" i="28"/>
  <c r="N15" i="28"/>
  <c r="P15" i="28" s="1"/>
  <c r="M15" i="28"/>
  <c r="O15" i="28" s="1"/>
  <c r="G15" i="28"/>
  <c r="F15" i="28"/>
  <c r="T12" i="27"/>
  <c r="R12" i="27"/>
  <c r="Q13" i="27"/>
  <c r="S13" i="27" s="1"/>
  <c r="I26" i="21"/>
  <c r="I17" i="21"/>
  <c r="I15" i="21"/>
  <c r="I31" i="21"/>
  <c r="I27" i="21"/>
  <c r="I21" i="21"/>
  <c r="I16" i="21"/>
  <c r="I35" i="21"/>
  <c r="I28" i="21"/>
  <c r="J12" i="21"/>
  <c r="J36" i="21" s="1"/>
  <c r="H19" i="21"/>
  <c r="H23" i="21" s="1"/>
  <c r="H29" i="21"/>
  <c r="H33" i="21" s="1"/>
  <c r="H38" i="21" s="1"/>
  <c r="H39" i="21" s="1"/>
  <c r="G16" i="28" l="1"/>
  <c r="F16" i="28"/>
  <c r="E17" i="28"/>
  <c r="J16" i="28"/>
  <c r="N16" i="28"/>
  <c r="P16" i="28" s="1"/>
  <c r="M16" i="28"/>
  <c r="O16" i="28" s="1"/>
  <c r="T13" i="27"/>
  <c r="R13" i="27"/>
  <c r="Q14" i="27"/>
  <c r="S14" i="27" s="1"/>
  <c r="J17" i="21"/>
  <c r="J15" i="21"/>
  <c r="J31" i="21"/>
  <c r="J27" i="21"/>
  <c r="J21" i="21"/>
  <c r="J16" i="21"/>
  <c r="J35" i="21"/>
  <c r="J28" i="21"/>
  <c r="J26" i="21"/>
  <c r="I19" i="21"/>
  <c r="I23" i="21" s="1"/>
  <c r="I29" i="21"/>
  <c r="I33" i="21" s="1"/>
  <c r="I38" i="21" s="1"/>
  <c r="I39" i="21" s="1"/>
  <c r="K12" i="21"/>
  <c r="K36" i="21" s="1"/>
  <c r="N17" i="28" l="1"/>
  <c r="P17" i="28" s="1"/>
  <c r="M17" i="28"/>
  <c r="O17" i="28" s="1"/>
  <c r="J17" i="28"/>
  <c r="G17" i="28"/>
  <c r="F17" i="28"/>
  <c r="E18" i="28"/>
  <c r="T14" i="27"/>
  <c r="R14" i="27"/>
  <c r="Q15" i="27"/>
  <c r="S15" i="27" s="1"/>
  <c r="K17" i="21"/>
  <c r="K15" i="21"/>
  <c r="K31" i="21"/>
  <c r="K27" i="21"/>
  <c r="K21" i="21"/>
  <c r="K16" i="21"/>
  <c r="K35" i="21"/>
  <c r="K28" i="21"/>
  <c r="K26" i="21"/>
  <c r="J19" i="21"/>
  <c r="J23" i="21" s="1"/>
  <c r="J29" i="21"/>
  <c r="J33" i="21" s="1"/>
  <c r="J38" i="21" s="1"/>
  <c r="J39" i="21" s="1"/>
  <c r="L12" i="21"/>
  <c r="L36" i="21" s="1"/>
  <c r="E19" i="28" l="1"/>
  <c r="N18" i="28"/>
  <c r="P18" i="28" s="1"/>
  <c r="M18" i="28"/>
  <c r="O18" i="28" s="1"/>
  <c r="J18" i="28"/>
  <c r="G18" i="28"/>
  <c r="F18" i="28"/>
  <c r="T15" i="27"/>
  <c r="R15" i="27"/>
  <c r="Q16" i="27"/>
  <c r="S16" i="27" s="1"/>
  <c r="L15" i="21"/>
  <c r="L31" i="21"/>
  <c r="L27" i="21"/>
  <c r="L21" i="21"/>
  <c r="L16" i="21"/>
  <c r="L35" i="21"/>
  <c r="L28" i="21"/>
  <c r="L26" i="21"/>
  <c r="L17" i="21"/>
  <c r="M12" i="21"/>
  <c r="M36" i="21" s="1"/>
  <c r="K19" i="21"/>
  <c r="K23" i="21" s="1"/>
  <c r="K29" i="21"/>
  <c r="K33" i="21" s="1"/>
  <c r="K38" i="21" s="1"/>
  <c r="K39" i="21" s="1"/>
  <c r="J19" i="28" l="1"/>
  <c r="G19" i="28"/>
  <c r="F19" i="28"/>
  <c r="E20" i="28"/>
  <c r="N19" i="28"/>
  <c r="P19" i="28" s="1"/>
  <c r="M19" i="28"/>
  <c r="O19" i="28" s="1"/>
  <c r="T16" i="27"/>
  <c r="R16" i="27"/>
  <c r="Q17" i="27"/>
  <c r="S17" i="27" s="1"/>
  <c r="M15" i="21"/>
  <c r="M31" i="21"/>
  <c r="M27" i="21"/>
  <c r="M21" i="21"/>
  <c r="M16" i="21"/>
  <c r="M35" i="21"/>
  <c r="M28" i="21"/>
  <c r="M26" i="21"/>
  <c r="M17" i="21"/>
  <c r="L19" i="21"/>
  <c r="L23" i="21" s="1"/>
  <c r="L29" i="21"/>
  <c r="L33" i="21" s="1"/>
  <c r="L38" i="21" s="1"/>
  <c r="L39" i="21" s="1"/>
  <c r="N12" i="21"/>
  <c r="N36" i="21" s="1"/>
  <c r="E21" i="28" l="1"/>
  <c r="N20" i="28"/>
  <c r="P20" i="28" s="1"/>
  <c r="M20" i="28"/>
  <c r="O20" i="28" s="1"/>
  <c r="J20" i="28"/>
  <c r="G20" i="28"/>
  <c r="F20" i="28"/>
  <c r="T17" i="27"/>
  <c r="R17" i="27"/>
  <c r="Q18" i="27"/>
  <c r="S18" i="27" s="1"/>
  <c r="N31" i="21"/>
  <c r="N27" i="21"/>
  <c r="N21" i="21"/>
  <c r="N16" i="21"/>
  <c r="N35" i="21"/>
  <c r="N28" i="21"/>
  <c r="N26" i="21"/>
  <c r="N17" i="21"/>
  <c r="N15" i="21"/>
  <c r="M19" i="21"/>
  <c r="M23" i="21" s="1"/>
  <c r="O12" i="21"/>
  <c r="O36" i="21" s="1"/>
  <c r="M29" i="21"/>
  <c r="M33" i="21" s="1"/>
  <c r="M38" i="21" s="1"/>
  <c r="M39" i="21" s="1"/>
  <c r="J21" i="28" l="1"/>
  <c r="G21" i="28"/>
  <c r="F21" i="28"/>
  <c r="E22" i="28"/>
  <c r="N21" i="28"/>
  <c r="P21" i="28" s="1"/>
  <c r="M21" i="28"/>
  <c r="O21" i="28" s="1"/>
  <c r="T18" i="27"/>
  <c r="R18" i="27"/>
  <c r="N29" i="21"/>
  <c r="N33" i="21" s="1"/>
  <c r="N38" i="21" s="1"/>
  <c r="N39" i="21" s="1"/>
  <c r="O31" i="21"/>
  <c r="O27" i="21"/>
  <c r="O21" i="21"/>
  <c r="O16" i="21"/>
  <c r="O35" i="21"/>
  <c r="O28" i="21"/>
  <c r="O26" i="21"/>
  <c r="O17" i="21"/>
  <c r="O15" i="21"/>
  <c r="N19" i="21"/>
  <c r="N23" i="21" s="1"/>
  <c r="E23" i="28" l="1"/>
  <c r="N22" i="28"/>
  <c r="P22" i="28" s="1"/>
  <c r="M22" i="28"/>
  <c r="O22" i="28" s="1"/>
  <c r="J22" i="28"/>
  <c r="G22" i="28"/>
  <c r="F22" i="28"/>
  <c r="O19" i="21"/>
  <c r="O23" i="21" s="1"/>
  <c r="O29" i="21"/>
  <c r="O33" i="21" s="1"/>
  <c r="O38" i="21" s="1"/>
  <c r="O39" i="21" s="1"/>
  <c r="G23" i="28" l="1"/>
  <c r="F23" i="28"/>
  <c r="E24" i="28"/>
  <c r="N23" i="28"/>
  <c r="P23" i="28" s="1"/>
  <c r="M23" i="28"/>
  <c r="O23" i="28" s="1"/>
  <c r="J23" i="28"/>
  <c r="E25" i="28" l="1"/>
  <c r="N24" i="28"/>
  <c r="P24" i="28" s="1"/>
  <c r="M24" i="28"/>
  <c r="O24" i="28" s="1"/>
  <c r="J24" i="28"/>
  <c r="G24" i="28"/>
  <c r="F24" i="28"/>
  <c r="E26" i="28" l="1"/>
  <c r="N25" i="28"/>
  <c r="P25" i="28" s="1"/>
  <c r="M25" i="28"/>
  <c r="O25" i="28" s="1"/>
  <c r="J25" i="28"/>
  <c r="G25" i="28"/>
  <c r="F25" i="28"/>
  <c r="N26" i="28" l="1"/>
  <c r="P26" i="28" s="1"/>
  <c r="M26" i="28"/>
  <c r="O26" i="28" s="1"/>
  <c r="J26" i="28"/>
  <c r="G26" i="28"/>
  <c r="F26" i="28"/>
  <c r="E27" i="28"/>
  <c r="E28" i="28" l="1"/>
  <c r="N27" i="28"/>
  <c r="P27" i="28" s="1"/>
  <c r="M27" i="28"/>
  <c r="O27" i="28" s="1"/>
  <c r="J27" i="28"/>
  <c r="G27" i="28"/>
  <c r="F27" i="28"/>
  <c r="N28" i="28" l="1"/>
  <c r="P28" i="28" s="1"/>
  <c r="M28" i="28"/>
  <c r="O28" i="28" s="1"/>
  <c r="J28" i="28"/>
  <c r="G28" i="28"/>
  <c r="F28" i="28"/>
  <c r="E29" i="28"/>
  <c r="E30" i="28" l="1"/>
  <c r="N29" i="28"/>
  <c r="P29" i="28" s="1"/>
  <c r="M29" i="28"/>
  <c r="O29" i="28" s="1"/>
  <c r="J29" i="28"/>
  <c r="G29" i="28"/>
  <c r="F29" i="28"/>
  <c r="J30" i="28" l="1"/>
  <c r="G30" i="28"/>
  <c r="F30" i="28"/>
  <c r="E31" i="28"/>
  <c r="N30" i="28"/>
  <c r="P30" i="28" s="1"/>
  <c r="M30" i="28"/>
  <c r="O30" i="28" s="1"/>
  <c r="E32" i="28" l="1"/>
  <c r="N31" i="28"/>
  <c r="P31" i="28" s="1"/>
  <c r="M31" i="28"/>
  <c r="O31" i="28" s="1"/>
  <c r="J31" i="28"/>
  <c r="G31" i="28"/>
  <c r="F31" i="28"/>
  <c r="J32" i="28" l="1"/>
  <c r="G32" i="28"/>
  <c r="F32" i="28"/>
  <c r="N32" i="28"/>
  <c r="P32" i="28" s="1"/>
  <c r="M32" i="28"/>
  <c r="O32" i="2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<sst xmlns="http://schemas.openxmlformats.org/spreadsheetml/2006/main" count="12123" uniqueCount="579">
  <si>
    <t>Summary</t>
  </si>
  <si>
    <t>Acorn by Oakbridge Finance</t>
  </si>
  <si>
    <t>Report Summary</t>
  </si>
  <si>
    <t>Report Period: 2025-01-01 — 2026-03-31</t>
  </si>
  <si>
    <t>Generated: April 20, 2026 at 11:17 AM</t>
  </si>
  <si>
    <t>Validation Summary</t>
  </si>
  <si>
    <t>QBO Reports</t>
  </si>
  <si>
    <t>Overall Result</t>
  </si>
  <si>
    <t>Total Accounts Checked</t>
  </si>
  <si>
    <t>Matched</t>
  </si>
  <si>
    <t>Differences Found</t>
  </si>
  <si>
    <t>Missing from GL</t>
  </si>
  <si>
    <t>Net Income</t>
  </si>
  <si>
    <t>Total Assets</t>
  </si>
  <si>
    <t>Total Liabilities</t>
  </si>
  <si>
    <t>Total Equity</t>
  </si>
  <si>
    <t>Assets = Liabilities + Equity</t>
  </si>
  <si>
    <t>Reports Included</t>
  </si>
  <si>
    <t>→ Profit &amp; Loss</t>
  </si>
  <si>
    <t>→ Balance Sheet</t>
  </si>
  <si>
    <t>→ AR Aging</t>
  </si>
  <si>
    <t>→ AP Aging</t>
  </si>
  <si>
    <t>Mapped Reports</t>
  </si>
  <si>
    <t>Mapping Reference</t>
  </si>
  <si>
    <t>→ Mapping Reference</t>
  </si>
  <si>
    <t>Flat Files</t>
  </si>
  <si>
    <t>→ IS GL Summary</t>
  </si>
  <si>
    <t>→ BS GL Summary</t>
  </si>
  <si>
    <t>→ BS Balances</t>
  </si>
  <si>
    <t>Validation</t>
  </si>
  <si>
    <t>→ GL Summary Validation</t>
  </si>
  <si>
    <t>Profit &amp; Loss</t>
  </si>
  <si>
    <t>Account</t>
  </si>
  <si>
    <t>Total</t>
  </si>
  <si>
    <t>Income</t>
  </si>
  <si>
    <t>44000 Consulting</t>
  </si>
  <si>
    <t>Total Income</t>
  </si>
  <si>
    <t>Cost of Goods Sold</t>
  </si>
  <si>
    <t>53000 Payroll Expense</t>
  </si>
  <si>
    <t>53100 Salaries &amp; Wages (COS)</t>
  </si>
  <si>
    <t>53110 Bonus &amp; Commission Expense</t>
  </si>
  <si>
    <t>53210 Employee Benefits - Workers Comp Ins</t>
  </si>
  <si>
    <t>53220 Employee Benefits - Retirement Plans</t>
  </si>
  <si>
    <t>53230 Employee Benefits -  Life Insurance</t>
  </si>
  <si>
    <t>53240 Employee Benefits - LTD</t>
  </si>
  <si>
    <t>53300 Payroll Expense - Employer Payroll Tax Expense</t>
  </si>
  <si>
    <t>Total 53000 Payroll Expense</t>
  </si>
  <si>
    <t>Total Cost of Goods Sold</t>
  </si>
  <si>
    <t>Gross Profit</t>
  </si>
  <si>
    <t>Expenses</t>
  </si>
  <si>
    <t>61000 Payroll Expense - new</t>
  </si>
  <si>
    <t>61100 Salaries &amp; Wages</t>
  </si>
  <si>
    <t>61110 Bonus &amp; Commission Expense - new</t>
  </si>
  <si>
    <t>61120 Guaranteed Payments - new</t>
  </si>
  <si>
    <t>61210 Employee Benefits - Workers Comp Ins - new</t>
  </si>
  <si>
    <t>61220 Employee Benefits - Retirement Plans - new</t>
  </si>
  <si>
    <t>61230 Employee Benefits -  Life Insurance - new</t>
  </si>
  <si>
    <t>61240 Employee Benefits - LTD</t>
  </si>
  <si>
    <t>61300 Employer Payroll Tax Expense</t>
  </si>
  <si>
    <t>Total 61000 Payroll Expense - new</t>
  </si>
  <si>
    <t>61500 Employee Expenses - new</t>
  </si>
  <si>
    <t>61510 Employee Benefit Programs - new</t>
  </si>
  <si>
    <t>61520 Employee Uniforms - new</t>
  </si>
  <si>
    <t>61550 Company Retreats &amp; Employee Events - new</t>
  </si>
  <si>
    <t>Total 61500 Employee Expenses - new</t>
  </si>
  <si>
    <t>63000 Professional Fees</t>
  </si>
  <si>
    <t>63100 Professional Services</t>
  </si>
  <si>
    <t>63110 Legal Services</t>
  </si>
  <si>
    <t>63120 Accounting Services</t>
  </si>
  <si>
    <t>63200 Employee Recruiting</t>
  </si>
  <si>
    <t>63400 Human Resources</t>
  </si>
  <si>
    <t>63500 IT</t>
  </si>
  <si>
    <t>63700 Marketing</t>
  </si>
  <si>
    <t>Total 63000 Professional Fees</t>
  </si>
  <si>
    <t>64100 MT&amp;E</t>
  </si>
  <si>
    <t>64110 Airfare</t>
  </si>
  <si>
    <t>64120 Hotels</t>
  </si>
  <si>
    <t>64130 Ground Transportation</t>
  </si>
  <si>
    <t>64140 Meals</t>
  </si>
  <si>
    <t>64150 Employee and Team Meals</t>
  </si>
  <si>
    <t>64180 Entertainment</t>
  </si>
  <si>
    <t>64190 Other</t>
  </si>
  <si>
    <t>Total 64100 MT&amp;E</t>
  </si>
  <si>
    <t>65100 Site Maintenance</t>
  </si>
  <si>
    <t>65110 Airfare</t>
  </si>
  <si>
    <t>65120 Hotels</t>
  </si>
  <si>
    <t>65130 Ground Transportation</t>
  </si>
  <si>
    <t>65140 Meals</t>
  </si>
  <si>
    <t>65150 Other</t>
  </si>
  <si>
    <t>Total 65100 Site Maintenance</t>
  </si>
  <si>
    <t>66100 Business Development</t>
  </si>
  <si>
    <t>66110 Airfare</t>
  </si>
  <si>
    <t>66120 Hotels</t>
  </si>
  <si>
    <t>66130 Ground Transportation</t>
  </si>
  <si>
    <t>66140 Meals</t>
  </si>
  <si>
    <t>66150 Event Fees</t>
  </si>
  <si>
    <t>66160 Other</t>
  </si>
  <si>
    <t>Total 66100 Business Development</t>
  </si>
  <si>
    <t>67000 General &amp; Administrative Expenses</t>
  </si>
  <si>
    <t>67110 Software &amp; Apps</t>
  </si>
  <si>
    <t>67111 Website</t>
  </si>
  <si>
    <t>67112 Bank Fees &amp; Service Charges</t>
  </si>
  <si>
    <t>67114 Payroll Processing Fees</t>
  </si>
  <si>
    <t>67117 Memberships Dues</t>
  </si>
  <si>
    <t>67118 Equipment</t>
  </si>
  <si>
    <t>67119 Office Supplies</t>
  </si>
  <si>
    <t>67121 Shipping &amp; Postage</t>
  </si>
  <si>
    <t>67123 Background Checks</t>
  </si>
  <si>
    <t>67124 G&amp;A Phone Expense</t>
  </si>
  <si>
    <t>67125 Licenses</t>
  </si>
  <si>
    <t>67126 Other G&amp;A</t>
  </si>
  <si>
    <t>Total 67000 General &amp; Administrative Expenses</t>
  </si>
  <si>
    <t>67200 Insurance</t>
  </si>
  <si>
    <t>67220 Liability Insurance</t>
  </si>
  <si>
    <t>67240 Cyber Insurance - new</t>
  </si>
  <si>
    <t>Total 67200 Insurance</t>
  </si>
  <si>
    <t>67400 Continuing Education</t>
  </si>
  <si>
    <t>67420 Hotels</t>
  </si>
  <si>
    <t>67430 Ground Transportation</t>
  </si>
  <si>
    <t>67440 Education Costs</t>
  </si>
  <si>
    <t>67450 Meals</t>
  </si>
  <si>
    <t>Total 67400 Continuing Education</t>
  </si>
  <si>
    <t>68000 Tax Expense</t>
  </si>
  <si>
    <t>68100 Business Taxes</t>
  </si>
  <si>
    <t>68105 Business Licenses &amp; Registration Fees</t>
  </si>
  <si>
    <t>Total 68000 Tax Expense</t>
  </si>
  <si>
    <t>Software</t>
  </si>
  <si>
    <t>Payroll</t>
  </si>
  <si>
    <t>Travel</t>
  </si>
  <si>
    <t>Total Expenses</t>
  </si>
  <si>
    <t>Net Operating Income</t>
  </si>
  <si>
    <t>── GL CROSS-CHECK ──</t>
  </si>
  <si>
    <t>Net Income — P&amp;L Report</t>
  </si>
  <si>
    <t>Net Income — IS GL Summary</t>
  </si>
  <si>
    <t>Difference (should be zero)</t>
  </si>
  <si>
    <t>Balance Sheet</t>
  </si>
  <si>
    <t>ASSETS</t>
  </si>
  <si>
    <t>Current Assets</t>
  </si>
  <si>
    <t>Bank Accounts</t>
  </si>
  <si>
    <t>Total Bank Accounts</t>
  </si>
  <si>
    <t>Accounts Receivable</t>
  </si>
  <si>
    <t>12100 Accounts Receivable (A/R)</t>
  </si>
  <si>
    <t>Total Accounts Receivable</t>
  </si>
  <si>
    <t>Other Current Assets</t>
  </si>
  <si>
    <t>12200 Reimbursable Costs Receivable</t>
  </si>
  <si>
    <t>12210 Reimbursable Costs - Owner</t>
  </si>
  <si>
    <t>13000 Prepaid Expenses</t>
  </si>
  <si>
    <t>13100 Prepaid Expenses (General)</t>
  </si>
  <si>
    <t>13300 Prepaid Insurance</t>
  </si>
  <si>
    <t>Total 13000 Prepaid Expenses</t>
  </si>
  <si>
    <t>14000 Other Current Assets</t>
  </si>
  <si>
    <t>14001 Other Current Assets (old)</t>
  </si>
  <si>
    <t>Total Other Current Assets</t>
  </si>
  <si>
    <t>Total Current Assets</t>
  </si>
  <si>
    <t>Other Assets</t>
  </si>
  <si>
    <t>16000 Other Long Term Assets</t>
  </si>
  <si>
    <t>Total 16000 Other Long Term Assets</t>
  </si>
  <si>
    <t>Total Other Assets</t>
  </si>
  <si>
    <t>TOTAL ASSETS</t>
  </si>
  <si>
    <t>LIABILITIES AND EQUITY</t>
  </si>
  <si>
    <t>Liabilities</t>
  </si>
  <si>
    <t>Current Liabilities</t>
  </si>
  <si>
    <t>Accounts Payable</t>
  </si>
  <si>
    <t>21000 Accounts Payable (A/P)</t>
  </si>
  <si>
    <t>Total Accounts Payable</t>
  </si>
  <si>
    <t>Credit Cards</t>
  </si>
  <si>
    <t>Total Credit Cards</t>
  </si>
  <si>
    <t>Other Current Liabilities</t>
  </si>
  <si>
    <t>22100 Payroll Liabilities</t>
  </si>
  <si>
    <t>22110 Accrued Wages</t>
  </si>
  <si>
    <t>22115 Accrued Benefits</t>
  </si>
  <si>
    <t>22130 Federal Taxes (941/944)</t>
  </si>
  <si>
    <t>Total 22100 Payroll Liabilities</t>
  </si>
  <si>
    <t>23200 Deferred revenue</t>
  </si>
  <si>
    <t>23300 Consulting Passthrough Liability</t>
  </si>
  <si>
    <t>Total Other Current Liabilities</t>
  </si>
  <si>
    <t>Total Current Liabilities</t>
  </si>
  <si>
    <t>Long-Term Liabilities</t>
  </si>
  <si>
    <t>24100 Long-term loans from partners</t>
  </si>
  <si>
    <t>Total Long-Term Liabilities</t>
  </si>
  <si>
    <t>Equity</t>
  </si>
  <si>
    <t>30000 Opening balance equity</t>
  </si>
  <si>
    <t>31130 Profit Allocation</t>
  </si>
  <si>
    <t>31210 Draws / Distributions</t>
  </si>
  <si>
    <t>31230 Profit Allocation</t>
  </si>
  <si>
    <t>32000 Retained Earnings</t>
  </si>
  <si>
    <t>Owner's draw/contribution</t>
  </si>
  <si>
    <t>TOTAL LIABILITIES AND EQUITY</t>
  </si>
  <si>
    <t>Total Assets — Balance Sheet Report</t>
  </si>
  <si>
    <t>Total Assets — BS Balances</t>
  </si>
  <si>
    <t>Difference — Assets (should be zero)</t>
  </si>
  <si>
    <t>Total Liabilities — Balance Sheet Report</t>
  </si>
  <si>
    <t>Total Liabilities — BS Balances</t>
  </si>
  <si>
    <t>Difference — Liabilities (should be zero)</t>
  </si>
  <si>
    <t>Total Equity — Balance Sheet Report</t>
  </si>
  <si>
    <t>Total Equity — BS Balances</t>
  </si>
  <si>
    <t>Difference — Equity (should be zero)</t>
  </si>
  <si>
    <t>Accounts Receivable Aging</t>
  </si>
  <si>
    <t>As of March 31, 2026</t>
  </si>
  <si>
    <t>Customer</t>
  </si>
  <si>
    <t>Current</t>
  </si>
  <si>
    <t>1 - 30</t>
  </si>
  <si>
    <t>31 - 60</t>
  </si>
  <si>
    <t>61 - 90</t>
  </si>
  <si>
    <t>91 and over</t>
  </si>
  <si>
    <t>TOTAL</t>
  </si>
  <si>
    <t>Accounts Payable Aging</t>
  </si>
  <si>
    <t>Vendor</t>
  </si>
  <si>
    <t>Revenue</t>
  </si>
  <si>
    <t>Other Income</t>
  </si>
  <si>
    <t>Total Revenue</t>
  </si>
  <si>
    <t>COS</t>
  </si>
  <si>
    <t>Employee Costs</t>
  </si>
  <si>
    <t>Total COS</t>
  </si>
  <si>
    <t>Sales &amp; Marketing</t>
  </si>
  <si>
    <t>Total Sales &amp; Marketing</t>
  </si>
  <si>
    <t>Operating Expenses</t>
  </si>
  <si>
    <t>Other G&amp;A</t>
  </si>
  <si>
    <t>G&amp;A Payroll</t>
  </si>
  <si>
    <t>Professional Fees</t>
  </si>
  <si>
    <t>MT&amp;E</t>
  </si>
  <si>
    <t>Site Maintenance</t>
  </si>
  <si>
    <t>Business Development</t>
  </si>
  <si>
    <t>Insurance</t>
  </si>
  <si>
    <t>Facilities</t>
  </si>
  <si>
    <t>Continuing Education</t>
  </si>
  <si>
    <t>Taxes</t>
  </si>
  <si>
    <t>Total Operating Expenses</t>
  </si>
  <si>
    <t>Contribution Margin</t>
  </si>
  <si>
    <t>Interest income (expense), net</t>
  </si>
  <si>
    <t>Total Other Income</t>
  </si>
  <si>
    <t>Net Income — QBO P&amp;L</t>
  </si>
  <si>
    <t>Cash &amp; Cash Equivalents</t>
  </si>
  <si>
    <t>Accounts Receivable (A/R)</t>
  </si>
  <si>
    <t>Fixed Assets</t>
  </si>
  <si>
    <t>Other Long-Term Assets</t>
  </si>
  <si>
    <t>(none)</t>
  </si>
  <si>
    <t>Deferred Revenue</t>
  </si>
  <si>
    <t>Long-term Liabilities</t>
  </si>
  <si>
    <t>Other Long-term Liabilities</t>
  </si>
  <si>
    <t>Investor Equity</t>
  </si>
  <si>
    <t>Total Liabilities &amp; Equity</t>
  </si>
  <si>
    <t>Total Assets — QBO Balance Sheet</t>
  </si>
  <si>
    <t>Total Liabilities — QBO Balance Sheet</t>
  </si>
  <si>
    <t>Total Equity — QBO Balance Sheet</t>
  </si>
  <si>
    <t>Income Statement GL Summary</t>
  </si>
  <si>
    <t>Month</t>
  </si>
  <si>
    <t>Account Name</t>
  </si>
  <si>
    <t>Account Type</t>
  </si>
  <si>
    <t>Class</t>
  </si>
  <si>
    <t>Amount</t>
  </si>
  <si>
    <t>Expense</t>
  </si>
  <si>
    <t>Company</t>
  </si>
  <si>
    <t>Balance Sheet GL Summary</t>
  </si>
  <si>
    <t>Bank</t>
  </si>
  <si>
    <t>Other Current Asset</t>
  </si>
  <si>
    <t>Credit Card</t>
  </si>
  <si>
    <t>Other Current Liability</t>
  </si>
  <si>
    <t>Balance Sheet Balances</t>
  </si>
  <si>
    <t>Account Subtype</t>
  </si>
  <si>
    <t>Account Group</t>
  </si>
  <si>
    <t>Ending Balance</t>
  </si>
  <si>
    <t>Checking</t>
  </si>
  <si>
    <t>Asset</t>
  </si>
  <si>
    <t>AccountsReceivable</t>
  </si>
  <si>
    <t>OtherCurrentAssets</t>
  </si>
  <si>
    <t>PrepaidExpenses</t>
  </si>
  <si>
    <t>UndepositedFunds</t>
  </si>
  <si>
    <t>Other Asset</t>
  </si>
  <si>
    <t>OtherLongTermAssets</t>
  </si>
  <si>
    <t>AccountsPayable</t>
  </si>
  <si>
    <t>Liability</t>
  </si>
  <si>
    <t>CreditCard</t>
  </si>
  <si>
    <t>OtherCurrentLiabilities</t>
  </si>
  <si>
    <t>Long Term Liability</t>
  </si>
  <si>
    <t>DebtsRelatedToParticipatingInterests</t>
  </si>
  <si>
    <t>OpeningBalanceEquity</t>
  </si>
  <si>
    <t>PartnersEquity</t>
  </si>
  <si>
    <t>OwnersEquity</t>
  </si>
  <si>
    <t>RetainedEarnings</t>
  </si>
  <si>
    <t>PartnerDistributions</t>
  </si>
  <si>
    <t>PayrollClearing</t>
  </si>
  <si>
    <t>PayrollTaxPayable</t>
  </si>
  <si>
    <t>Statement</t>
  </si>
  <si>
    <t>GL Value (Live)</t>
  </si>
  <si>
    <t>QBO Report Value</t>
  </si>
  <si>
    <t>Difference</t>
  </si>
  <si>
    <t>Status</t>
  </si>
  <si>
    <t>Notes</t>
  </si>
  <si>
    <t>Red rows below</t>
  </si>
  <si>
    <t>Yellow rows below</t>
  </si>
  <si>
    <t>ACCOUNT DETAIL</t>
  </si>
  <si>
    <t>INCOME STATEMENT ACCOUNTS</t>
  </si>
  <si>
    <t>IS</t>
  </si>
  <si>
    <t>Other</t>
  </si>
  <si>
    <t>BALANCE SHEET ACCOUNTS</t>
  </si>
  <si>
    <t>BS</t>
  </si>
  <si>
    <t>QBO Account</t>
  </si>
  <si>
    <t>Unmapped</t>
  </si>
  <si>
    <t>53120 Guaranteed Payments</t>
  </si>
  <si>
    <t>53130 Severance Expense</t>
  </si>
  <si>
    <t>53140 Employee Relocation</t>
  </si>
  <si>
    <t>Cost of goods sold</t>
  </si>
  <si>
    <t>53500 Employee Expenses</t>
  </si>
  <si>
    <t>53510 Employee Benefit Programs</t>
  </si>
  <si>
    <t>53530 Employee Recognition</t>
  </si>
  <si>
    <t>53540 Employee Entertainment</t>
  </si>
  <si>
    <t>53600 Company Retreats &amp; Employee Events</t>
  </si>
  <si>
    <t>61130 Severance Expense - new</t>
  </si>
  <si>
    <t>61140 Employee Relocation - new</t>
  </si>
  <si>
    <t>61410 Domestic Contractor Expense</t>
  </si>
  <si>
    <t>61530 Employee Recognition - new</t>
  </si>
  <si>
    <t>61540 Employee Entertainment - new</t>
  </si>
  <si>
    <t>62000 Advertising, Marketing, &amp; Business Development</t>
  </si>
  <si>
    <t>62100 Print Marketing</t>
  </si>
  <si>
    <t>62110 Paid Social</t>
  </si>
  <si>
    <t>62120 Paid Offline Marketing</t>
  </si>
  <si>
    <t>62200 Affiliate Marketing</t>
  </si>
  <si>
    <t>62210 SMB Marketing</t>
  </si>
  <si>
    <t>62300 PR/Organic</t>
  </si>
  <si>
    <t>62400 Tradeshows and Events</t>
  </si>
  <si>
    <t>63300 Training and Development</t>
  </si>
  <si>
    <t>64160 Meals with Clients</t>
  </si>
  <si>
    <t>64170 Travel Meals</t>
  </si>
  <si>
    <t>67113 Sales Tax Compliance Fees</t>
  </si>
  <si>
    <t>67115 Late Payment Fees</t>
  </si>
  <si>
    <t>67116 Bad Debt Expense</t>
  </si>
  <si>
    <t>67120 Printing &amp; Photocopying</t>
  </si>
  <si>
    <t>67122 R&amp;D Expense</t>
  </si>
  <si>
    <t>67210 Business Insurance</t>
  </si>
  <si>
    <t>67230 Property Insurance</t>
  </si>
  <si>
    <t>67300 Facilities</t>
  </si>
  <si>
    <t>67310 Rent Expense</t>
  </si>
  <si>
    <t>67320 Equipment rental</t>
  </si>
  <si>
    <t>67330 Phone Service</t>
  </si>
  <si>
    <t>67340 Internet &amp; TV Services</t>
  </si>
  <si>
    <t>67350 Repairs &amp; Maintenance</t>
  </si>
  <si>
    <t>67360 Office Parking Expenses</t>
  </si>
  <si>
    <t>68110 Property Taxes</t>
  </si>
  <si>
    <t>69999 Uncategorized Expense - new</t>
  </si>
  <si>
    <t>81100 Interest Earned - new</t>
  </si>
  <si>
    <t>81300 Credit Card Points</t>
  </si>
  <si>
    <t>81400 Gain (Loss) on Sale of Assets</t>
  </si>
  <si>
    <t>85000 Interest Expense</t>
  </si>
  <si>
    <t>Other Expense</t>
  </si>
  <si>
    <t>86000 Depreciation Expense</t>
  </si>
  <si>
    <t>89000 Income Taxe Expense</t>
  </si>
  <si>
    <t>81200 Realized Gain (Loss)</t>
  </si>
  <si>
    <t>81210 Unrealized Gain (Loss)</t>
  </si>
  <si>
    <t>21200 Credit Cards</t>
  </si>
  <si>
    <t>31000 Partner Equity</t>
  </si>
  <si>
    <t>31120 Contributions</t>
  </si>
  <si>
    <t>15000 Furniture and Equipment</t>
  </si>
  <si>
    <t>Fixed Asset</t>
  </si>
  <si>
    <t>17000 Accumulated Depreciation - new</t>
  </si>
  <si>
    <t>12300 Unbilled Revenue</t>
  </si>
  <si>
    <t>22120 PTO</t>
  </si>
  <si>
    <t>22140 FICA</t>
  </si>
  <si>
    <t>22150 Federal Unemployment (940)</t>
  </si>
  <si>
    <t>22151 UT Unemployment Tax</t>
  </si>
  <si>
    <t>22152 LA Unemployment Tax</t>
  </si>
  <si>
    <t>22153 CA Unemployment Tax</t>
  </si>
  <si>
    <t>22154 PA Unemployment Tax</t>
  </si>
  <si>
    <t>22160 CA Education &amp; Training Tax</t>
  </si>
  <si>
    <t>22170 Retirement benefits to pay</t>
  </si>
  <si>
    <t>22200 Direct Deposit Payable</t>
  </si>
  <si>
    <t>23000 Reimbursable Expense Liability</t>
  </si>
  <si>
    <t>23100 Accrued Expenses</t>
  </si>
  <si>
    <t>Check</t>
  </si>
  <si>
    <t>Actuals Through (Current)</t>
  </si>
  <si>
    <t>Consolidated</t>
  </si>
  <si>
    <t>&lt;--Select Class</t>
  </si>
  <si>
    <t>Consulting Revenue</t>
  </si>
  <si>
    <t>Gross Margin %</t>
  </si>
  <si>
    <t>Opex</t>
  </si>
  <si>
    <t>Total Opex</t>
  </si>
  <si>
    <t>Report Period</t>
  </si>
  <si>
    <t>Current Month</t>
  </si>
  <si>
    <t>&lt;--Select Period</t>
  </si>
  <si>
    <t>Start Date</t>
  </si>
  <si>
    <t>End Date</t>
  </si>
  <si>
    <t>Custom Range</t>
  </si>
  <si>
    <t>&lt;-- Select if 'Custom' period</t>
  </si>
  <si>
    <t>Period Start</t>
  </si>
  <si>
    <t>Period End</t>
  </si>
  <si>
    <t>Assets</t>
  </si>
  <si>
    <t>Acorn Inc.</t>
  </si>
  <si>
    <t>→ Acorn Inc. Map 1 P&amp;L</t>
  </si>
  <si>
    <t>→ Acorn Inc. Map 1 BS</t>
  </si>
  <si>
    <t>Acorn, Inc.</t>
  </si>
  <si>
    <t>Acorn, Inc</t>
  </si>
  <si>
    <t>Headline Cards</t>
  </si>
  <si>
    <t>Combo Chart</t>
  </si>
  <si>
    <t>Cash Bridge</t>
  </si>
  <si>
    <t>-Split-</t>
  </si>
  <si>
    <t>Journal Entry</t>
  </si>
  <si>
    <t>OtherBusinessExpenses</t>
  </si>
  <si>
    <t>Bill</t>
  </si>
  <si>
    <t>OfficeGeneralAdministrativeExpenses</t>
  </si>
  <si>
    <t>PayrollExpenses</t>
  </si>
  <si>
    <t>AdvertisingPromotional</t>
  </si>
  <si>
    <t>CostOfLaborCos</t>
  </si>
  <si>
    <t>ServiceFeeIncome</t>
  </si>
  <si>
    <t>SuppliesMaterialsCogs</t>
  </si>
  <si>
    <t>DuesSubscriptions</t>
  </si>
  <si>
    <t>TravelMeals</t>
  </si>
  <si>
    <t>LegalProfessionalFees</t>
  </si>
  <si>
    <t>TaxesPaid</t>
  </si>
  <si>
    <t>BankCharges</t>
  </si>
  <si>
    <t>Invoice</t>
  </si>
  <si>
    <t>Running Balance</t>
  </si>
  <si>
    <t>Split Account</t>
  </si>
  <si>
    <t>Memo/Description</t>
  </si>
  <si>
    <t>Customer/Vendor</t>
  </si>
  <si>
    <t>Account Number</t>
  </si>
  <si>
    <t>Num</t>
  </si>
  <si>
    <t>Transaction Type</t>
  </si>
  <si>
    <t>Date</t>
  </si>
  <si>
    <t>Income Statement GL Detail</t>
  </si>
  <si>
    <t>Payment</t>
  </si>
  <si>
    <t>66110 Business Development:Airfare</t>
  </si>
  <si>
    <t>Credit Card Payment</t>
  </si>
  <si>
    <t>67110 General &amp; Administrative Expenses:Software &amp; Apps</t>
  </si>
  <si>
    <t>13100 Prepaid Expenses:Prepaid Expenses (General)</t>
  </si>
  <si>
    <t>67117 General &amp; Administrative Expenses:Memberships Dues</t>
  </si>
  <si>
    <t>Bill Payment (Check)</t>
  </si>
  <si>
    <t>Transfer</t>
  </si>
  <si>
    <t>67111 General &amp; Administrative Expenses:Website</t>
  </si>
  <si>
    <t>67126 General &amp; Administrative Expenses:Other G&amp;A</t>
  </si>
  <si>
    <t>66140 Business Development:Meals</t>
  </si>
  <si>
    <t>63120 Professional Fees:Accounting Services</t>
  </si>
  <si>
    <t>63400 Professional Fees:Human Resources</t>
  </si>
  <si>
    <t>64140 MT&amp;E:Meals</t>
  </si>
  <si>
    <t>68105 Tax Expense:Business Licenses &amp; Registration Fees</t>
  </si>
  <si>
    <t>66130 Business Development:Ground Transportation</t>
  </si>
  <si>
    <t>65130 Site Maintenance:Ground Transportation</t>
  </si>
  <si>
    <t>66150 Business Development:Event Fees</t>
  </si>
  <si>
    <t>67112 General &amp; Administrative Expenses:Bank Fees &amp; Service Charges</t>
  </si>
  <si>
    <t>66120 Business Development:Hotels</t>
  </si>
  <si>
    <t>65120 Site Maintenance:Hotels</t>
  </si>
  <si>
    <t>65140 Site Maintenance:Meals</t>
  </si>
  <si>
    <t>67240 Insurance:Cyber Insurance - new</t>
  </si>
  <si>
    <t>63500 Professional Fees:IT</t>
  </si>
  <si>
    <t>Balance Sheet GL Detail</t>
  </si>
  <si>
    <t>→ BS GL Detail</t>
  </si>
  <si>
    <t>→ IS GL Detail</t>
  </si>
  <si>
    <t>Intentionally left blank for demo</t>
  </si>
  <si>
    <t>Acorn Map 1 - Account Group</t>
  </si>
  <si>
    <t>Acorn Map 1 - Statement Section</t>
  </si>
  <si>
    <t>Top 5 Operating Expenses</t>
  </si>
  <si>
    <t>Split Account - Map 1 Group</t>
  </si>
  <si>
    <t>Payroll &amp; Other Curr. Liab.</t>
  </si>
  <si>
    <t>Credit Card Payments</t>
  </si>
  <si>
    <t>Other (residual)</t>
  </si>
  <si>
    <t>Row Labels</t>
  </si>
  <si>
    <t>Grand Total</t>
  </si>
  <si>
    <t>Sum of Amount</t>
  </si>
  <si>
    <t>For Chart</t>
  </si>
  <si>
    <t>Customer 1</t>
  </si>
  <si>
    <t>Total Customer 1</t>
  </si>
  <si>
    <t>Customer 2</t>
  </si>
  <si>
    <t>Total Customer 2</t>
  </si>
  <si>
    <t>Customer 3</t>
  </si>
  <si>
    <t>Total Customer 3</t>
  </si>
  <si>
    <t>Customer 4</t>
  </si>
  <si>
    <t>Total Customer 4</t>
  </si>
  <si>
    <t>Customer 5</t>
  </si>
  <si>
    <t>Total Customer 5</t>
  </si>
  <si>
    <t>Customer 6</t>
  </si>
  <si>
    <t>Total Customer 6</t>
  </si>
  <si>
    <t>Customer 7</t>
  </si>
  <si>
    <t>Total Customer 7</t>
  </si>
  <si>
    <t>Customer 8</t>
  </si>
  <si>
    <t>Total Customer 8</t>
  </si>
  <si>
    <t>Customer 9</t>
  </si>
  <si>
    <t>Total Customer 9</t>
  </si>
  <si>
    <t>Customer 10</t>
  </si>
  <si>
    <t>Total Customer 10</t>
  </si>
  <si>
    <t>Vendor 1</t>
  </si>
  <si>
    <t>Vendor 2</t>
  </si>
  <si>
    <t>Vendor 3</t>
  </si>
  <si>
    <t>Vendor 4</t>
  </si>
  <si>
    <t>Vendor 5</t>
  </si>
  <si>
    <t>Vendor 6</t>
  </si>
  <si>
    <t>Vendor 7</t>
  </si>
  <si>
    <t>Vendor 8</t>
  </si>
  <si>
    <t>Receipts</t>
  </si>
  <si>
    <t>AP</t>
  </si>
  <si>
    <t>Top 5 Customers</t>
  </si>
  <si>
    <t>Dashboard Data</t>
  </si>
  <si>
    <t>Linked to Acorn output tabs</t>
  </si>
  <si>
    <t>Class A</t>
  </si>
  <si>
    <t>Class B</t>
  </si>
  <si>
    <t>Lookup</t>
  </si>
  <si>
    <t>Chart Text</t>
  </si>
  <si>
    <t>Actuals Through</t>
  </si>
  <si>
    <t>Reporting Date Drop Down</t>
  </si>
  <si>
    <t>Quarter</t>
  </si>
  <si>
    <t>Year</t>
  </si>
  <si>
    <t>Quarter Start</t>
  </si>
  <si>
    <t>Quarter End</t>
  </si>
  <si>
    <t>Prior Quarter</t>
  </si>
  <si>
    <t>Prior Quarter Start</t>
  </si>
  <si>
    <t>Prior Quarter End</t>
  </si>
  <si>
    <t>Year Start</t>
  </si>
  <si>
    <t>Year End</t>
  </si>
  <si>
    <t>PY Start</t>
  </si>
  <si>
    <t>PY End</t>
  </si>
  <si>
    <t>Period</t>
  </si>
  <si>
    <t>Custom</t>
  </si>
  <si>
    <t>Prior Month</t>
  </si>
  <si>
    <t>Current Quarter</t>
  </si>
  <si>
    <t>YTD</t>
  </si>
  <si>
    <t>Prior Year YTD</t>
  </si>
  <si>
    <t>Full Year Fcst</t>
  </si>
  <si>
    <t>Full Year PY</t>
  </si>
  <si>
    <t>Trailing 12 Mos</t>
  </si>
  <si>
    <t>Expense Review by Class</t>
  </si>
  <si>
    <t>Account Group per Map</t>
  </si>
  <si>
    <t>GL Detail by Customer/Vendor</t>
  </si>
  <si>
    <t>Bank fee detail</t>
  </si>
  <si>
    <t>Class A Direct Labor Cost Detail</t>
  </si>
  <si>
    <t>Class A travel meals</t>
  </si>
  <si>
    <t>Class A Software costs</t>
  </si>
  <si>
    <t>Class A dues detail</t>
  </si>
  <si>
    <t>Class A Other G&amp;A Detail</t>
  </si>
  <si>
    <t>Customer 6 detail</t>
  </si>
  <si>
    <t>Customer 7 detail</t>
  </si>
  <si>
    <t>Class B Direct Labor Cost Detail</t>
  </si>
  <si>
    <t>Class B direct materials cost A</t>
  </si>
  <si>
    <t>Class B direct materials cost B</t>
  </si>
  <si>
    <t>G&amp;A Payroll Detail</t>
  </si>
  <si>
    <t>Business development travel detail</t>
  </si>
  <si>
    <t>Business development meal detail</t>
  </si>
  <si>
    <t>Other business development detail</t>
  </si>
  <si>
    <t>Travel detail</t>
  </si>
  <si>
    <t>Taxes detail</t>
  </si>
  <si>
    <t>Dues detail</t>
  </si>
  <si>
    <t>Other detail</t>
  </si>
  <si>
    <t>IT detail</t>
  </si>
  <si>
    <t>HR fees detail</t>
  </si>
  <si>
    <t>Accounting fee detail</t>
  </si>
  <si>
    <t>16100 Strategic Investment</t>
  </si>
  <si>
    <t>53200 Employee Benefits - Health</t>
  </si>
  <si>
    <t>61200 Employee Benefits - Health - new</t>
  </si>
  <si>
    <t>21210 Corporate Credit Card 1</t>
  </si>
  <si>
    <t>21220 Corporate Credit Card 2</t>
  </si>
  <si>
    <t>21230 Corporate Credit Card 3</t>
  </si>
  <si>
    <t>Acorn Map 1</t>
  </si>
  <si>
    <t>→ Acorn Map 1 Validation</t>
  </si>
  <si>
    <t>Project Expenses</t>
  </si>
  <si>
    <t>41000 Class B Revenue</t>
  </si>
  <si>
    <t>51100 Project Expenses - new</t>
  </si>
  <si>
    <t>11010 Operating Account 1</t>
  </si>
  <si>
    <t>11020 Operating Account 2</t>
  </si>
  <si>
    <t>Acorn Map 1 — Income Statement</t>
  </si>
  <si>
    <t>Acorn Map 1 — Balance Sheet</t>
  </si>
  <si>
    <t>Acorn Map 1 — Summary</t>
  </si>
  <si>
    <t>Customer 12 detail</t>
  </si>
  <si>
    <t>Customer 13 detail</t>
  </si>
  <si>
    <t>42000 Class A Revenue</t>
  </si>
  <si>
    <t>43000 Client 1 Revenue</t>
  </si>
  <si>
    <t>13200 Prepaid Expenses (Prepaid Cards)</t>
  </si>
  <si>
    <t>31100 Capital Account - Partner 1</t>
  </si>
  <si>
    <t>31110 Partner 1 Draws / Distributions</t>
  </si>
  <si>
    <t>Total 31100 Capital Account - Partner 1</t>
  </si>
  <si>
    <t>31200 Capital Account - Partner 2</t>
  </si>
  <si>
    <t>Total 31200 Capital Account - Partner 2</t>
  </si>
  <si>
    <t>Customer 11 detail</t>
  </si>
  <si>
    <t>Vendor 9 detail</t>
  </si>
  <si>
    <t>Vendor 11 detail</t>
  </si>
  <si>
    <t>Vendor 12 detail</t>
  </si>
  <si>
    <t>Vendor 13 detail</t>
  </si>
  <si>
    <t>Vendor 14 detail</t>
  </si>
  <si>
    <t>Vendor 15 detail</t>
  </si>
  <si>
    <t>Vendor 16 detail</t>
  </si>
  <si>
    <t>Vendor 10 detail</t>
  </si>
  <si>
    <t>51200 Participant Payments</t>
  </si>
  <si>
    <t>63600 Other Professional Fees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</si>
</sst>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0.00_);\(#,##0.00\);&quot;-&quot;??;@"/>
    <numFmt numFmtId="165" formatCode="#,##0_);\ \(#,##0\);\-_);_(@_)"/>
    <numFmt numFmtId="166" formatCode="_(* #,##0_);_(* \(#,##0\);_(* &quot;-&quot;??_);_(@_)"/>
    <numFmt numFmtId="167" formatCode="mmm\ yy"/>
    <numFmt numFmtId="168" formatCode="_([$$-409]* #,##0_);_([$$-409]* \(#,##0\);_([$$-409]* &quot;-&quot;??_);_(@_)"/>
    <numFmt numFmtId="169" formatCode="_(&quot;$&quot;* #,##0_);_(&quot;$&quot;* \(#,##0\);_(&quot;$&quot;* &quot;-&quot;??_);_(@_)"/>
    <numFmt numFmtId="170" formatCode="mmm\ yyyy"/>
  </numFmts>
  <fonts count="47" x14ac:knownFonts="1">
    <font>
      <sz val="11"/>
      <color theme="1"/>
      <name val="Calibri"/>
      <family val="2"/>
      <scheme val="minor"/>
    </font>
    <font>
      <sz val="10"/>
      <name val="Arial"/>
      <family val="2"/>
    </font>
    <font>
      <b/>
      <sz val="10"/>
      <color rgb="FF000000"/>
      <name val="Arial"/>
      <family val="2"/>
    </font>
    <font>
      <sz val="10"/>
      <color rgb="FF000000"/>
      <name val="Arial"/>
      <family val="2"/>
    </font>
    <font>
      <b/>
      <sz val="10"/>
      <color rgb="FFFFFFFF"/>
      <name val="Arial"/>
      <family val="2"/>
    </font>
    <font>
      <i/>
      <sz val="10"/>
      <color rgb="FF000000"/>
      <name val="Arial"/>
      <family val="2"/>
    </font>
    <font>
      <sz val="10"/>
      <color theme="1"/>
      <name val="Arial"/>
      <family val="2"/>
    </font>
    <font>
      <b/>
      <sz val="10"/>
      <name val="Arial"/>
      <family val="2"/>
    </font>
    <font>
      <sz val="10"/>
      <color rgb="FF999999"/>
      <name val="Arial"/>
      <family val="2"/>
    </font>
    <font>
      <i/>
      <sz val="10"/>
      <name val="Arial"/>
      <family val="2"/>
    </font>
    <font>
      <sz val="10"/>
      <color rgb="FF276221"/>
      <name val="Arial"/>
      <family val="2"/>
    </font>
    <font>
      <b/>
      <sz val="14"/>
      <color rgb="FF07393C"/>
      <name val="Arial"/>
      <family val="2"/>
    </font>
    <font>
      <i/>
      <sz val="10"/>
      <color rgb="FF5A6B6D"/>
      <name val="Arial"/>
      <family val="2"/>
    </font>
    <font>
      <sz val="10"/>
      <color rgb="FF5A6B6D"/>
      <name val="Arial"/>
      <family val="2"/>
    </font>
    <font>
      <u/>
      <sz val="10"/>
      <color rgb="FF0563C1"/>
      <name val="Arial"/>
      <family val="2"/>
    </font>
    <font>
      <sz val="11"/>
      <color theme="1"/>
      <name val="Calibri"/>
      <family val="2"/>
      <scheme val="minor"/>
    </font>
    <font>
      <b/>
      <sz val="12"/>
      <color theme="1"/>
      <name val="Arial"/>
      <family val="2"/>
    </font>
    <font>
      <i/>
      <sz val="10"/>
      <color theme="1"/>
      <name val="Arial"/>
      <family val="2"/>
    </font>
    <font>
      <sz val="10"/>
      <color rgb="FF38434D"/>
      <name val="Arial"/>
      <family val="2"/>
    </font>
    <font>
      <b/>
      <sz val="10"/>
      <color theme="1"/>
      <name val="Arial"/>
      <family val="2"/>
    </font>
    <font>
      <b/>
      <sz val="10"/>
      <color rgb="FF4F387E"/>
      <name val="Arial"/>
      <family val="2"/>
    </font>
    <font>
      <b/>
      <sz val="10"/>
      <color rgb="FF38434D"/>
      <name val="Arial"/>
      <family val="2"/>
    </font>
    <font>
      <sz val="10"/>
      <color theme="2" tint="-0.749992370372631"/>
      <name val="Arial"/>
      <family val="2"/>
    </font>
    <font>
      <sz val="10"/>
      <color rgb="FF0000FF"/>
      <name val="Arial"/>
      <family val="2"/>
    </font>
    <font>
      <i/>
      <sz val="10"/>
      <color theme="0" tint="-0.499984740745262"/>
      <name val="Arial"/>
      <family val="2"/>
    </font>
    <font>
      <i/>
      <sz val="10"/>
      <color rgb="FF38434D"/>
      <name val="Arial"/>
      <family val="2"/>
    </font>
    <font>
      <sz val="10"/>
      <color rgb="FF718184"/>
      <name val="Arial"/>
      <family val="2"/>
    </font>
    <font>
      <b/>
      <sz val="10"/>
      <color rgb="FF718184"/>
      <name val="Arial"/>
      <family val="2"/>
    </font>
    <font>
      <i/>
      <sz val="10"/>
      <color rgb="FF71817A"/>
      <name val="Arial"/>
      <family val="2"/>
    </font>
    <font>
      <sz val="10"/>
      <color rgb="FF0070C0"/>
      <name val="Arial"/>
      <family val="2"/>
    </font>
    <font>
      <b/>
      <sz val="10"/>
      <color theme="9"/>
      <name val="Arial"/>
      <family val="2"/>
    </font>
    <font>
      <b/>
      <i/>
      <sz val="10"/>
      <color rgb="FF38434D"/>
      <name val="Arial"/>
      <family val="2"/>
    </font>
    <font>
      <sz val="10"/>
      <color rgb="FF339933"/>
      <name val="Arial"/>
      <family val="2"/>
    </font>
    <font>
      <sz val="11"/>
      <color rgb="FF339933"/>
      <name val="Calibri"/>
      <family val="2"/>
      <scheme val="minor"/>
    </font>
    <font>
      <sz val="11"/>
      <name val="Calibri"/>
      <family val="2"/>
      <scheme val="minor"/>
    </font>
    <font>
      <sz val="10"/>
      <color theme="0" tint="-0.34998626667073579"/>
      <name val="Arial"/>
      <family val="2"/>
    </font>
    <font>
      <b/>
      <sz val="12"/>
      <color rgb="FF07393C"/>
      <name val="Arial"/>
      <family val="2"/>
    </font>
    <font>
      <b/>
      <i/>
      <sz val="10"/>
      <color rgb="FF337E8D"/>
      <name val="Arial"/>
      <family val="2"/>
    </font>
    <font>
      <sz val="8"/>
      <name val="Calibri"/>
      <family val="2"/>
      <scheme val="minor"/>
    </font>
    <font>
      <i/>
      <sz val="10"/>
      <color rgb="FF337E8D"/>
      <name val="Arial"/>
      <family val="2"/>
    </font>
    <font>
      <sz val="9"/>
      <color theme="1"/>
      <name val="Arial"/>
      <family val="2"/>
    </font>
    <font>
      <b/>
      <sz val="9"/>
      <color theme="1"/>
      <name val="Arial"/>
      <family val="2"/>
    </font>
    <font>
      <sz val="9"/>
      <color theme="9" tint="-0.249977111117893"/>
      <name val="Arial"/>
      <family val="2"/>
    </font>
    <font>
      <sz val="9"/>
      <name val="Arial"/>
      <family val="2"/>
    </font>
    <font>
      <b/>
      <sz val="9"/>
      <color theme="0"/>
      <name val="Arial"/>
      <family val="2"/>
    </font>
    <font>
      <b/>
      <i/>
      <sz val="10"/>
      <color rgb="FF10848A"/>
      <name val="Arial"/>
      <family val="2"/>
    </font>
    <font>
      <b/>
      <i/>
      <sz val="10"/>
      <color theme="0" tint="-0.499984740745262"/>
      <name val="Arial"/>
      <family val="2"/>
    </font>
  </fonts>
  <fills count="14">
    <fill>
      <patternFill patternType="none"/>
    </fill>
    <fill>
      <patternFill patternType="gray125"/>
    </fill>
    <fill>
      <patternFill patternType="solid">
        <fgColor rgb="FF337E8D"/>
      </patternFill>
    </fill>
    <fill>
      <patternFill patternType="solid">
        <fgColor rgb="FFF2F2F2"/>
      </patternFill>
    </fill>
    <fill>
      <patternFill patternType="solid">
        <fgColor rgb="FFFFFDE7"/>
      </patternFill>
    </fill>
    <fill>
      <patternFill patternType="solid">
        <fgColor rgb="FFBDD7EE"/>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FFFFCC"/>
        <bgColor indexed="64"/>
      </patternFill>
    </fill>
    <fill>
      <patternFill patternType="solid">
        <fgColor theme="5"/>
        <bgColor indexed="64"/>
      </patternFill>
    </fill>
    <fill>
      <patternFill patternType="solid">
        <fgColor rgb="FFC97D60"/>
        <bgColor indexed="64"/>
      </patternFill>
    </fill>
    <fill>
      <patternFill patternType="solid">
        <fgColor theme="7" tint="0.79998168889431442"/>
        <bgColor indexed="64"/>
      </patternFill>
    </fill>
    <fill>
      <patternFill patternType="solid">
        <fgColor theme="3"/>
        <bgColor indexed="64"/>
      </patternFill>
    </fill>
  </fills>
  <borders count="40">
    <border>
      <left/>
      <right/>
      <top/>
      <bottom/>
      <diagonal/>
    </border>
    <border>
      <left/>
      <right/>
      <top style="thin">
        <color auto="1"/>
      </top>
      <bottom/>
      <diagonal/>
    </border>
    <border>
      <left/>
      <right/>
      <top style="thin">
        <color auto="1"/>
      </top>
      <bottom style="double">
        <color auto="1"/>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style="thin">
        <color theme="0" tint="-0.14999847407452621"/>
      </top>
      <bottom/>
      <diagonal/>
    </border>
    <border>
      <left/>
      <right style="thin">
        <color theme="0" tint="-0.249977111117893"/>
      </right>
      <top style="thin">
        <color theme="0" tint="-0.14999847407452621"/>
      </top>
      <bottom/>
      <diagonal/>
    </border>
    <border>
      <left/>
      <right/>
      <top style="thin">
        <color theme="0" tint="-0.14999847407452621"/>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14999847407452621"/>
      </top>
      <bottom/>
      <diagonal/>
    </border>
    <border>
      <left/>
      <right/>
      <top/>
      <bottom style="thin">
        <color theme="0" tint="-0.14999847407452621"/>
      </bottom>
      <diagonal/>
    </border>
    <border>
      <left style="thin">
        <color theme="0" tint="-0.14999847407452621"/>
      </left>
      <right/>
      <top style="thin">
        <color theme="0" tint="-0.249977111117893"/>
      </top>
      <bottom/>
      <diagonal/>
    </border>
    <border>
      <left/>
      <right style="thin">
        <color theme="0" tint="-0.14999847407452621"/>
      </right>
      <top/>
      <bottom/>
      <diagonal/>
    </border>
    <border>
      <left style="thin">
        <color theme="0" tint="-0.14999847407452621"/>
      </left>
      <right/>
      <top/>
      <bottom/>
      <diagonal/>
    </border>
    <border>
      <left/>
      <right/>
      <top/>
      <bottom style="thin">
        <color theme="0" tint="-0.499984740745262"/>
      </bottom>
      <diagonal/>
    </border>
    <border>
      <left style="thin">
        <color theme="0" tint="-0.14999847407452621"/>
      </left>
      <right/>
      <top style="thin">
        <color theme="0" tint="-0.499984740745262"/>
      </top>
      <bottom style="double">
        <color theme="0" tint="-0.499984740745262"/>
      </bottom>
      <diagonal/>
    </border>
    <border>
      <left/>
      <right/>
      <top style="thin">
        <color theme="0" tint="-0.499984740745262"/>
      </top>
      <bottom style="double">
        <color theme="0" tint="-0.499984740745262"/>
      </bottom>
      <diagonal/>
    </border>
    <border>
      <left/>
      <right style="thin">
        <color theme="0" tint="-0.14999847407452621"/>
      </right>
      <top style="thin">
        <color theme="0" tint="-0.499984740745262"/>
      </top>
      <bottom style="double">
        <color theme="0" tint="-0.499984740745262"/>
      </bottom>
      <diagonal/>
    </border>
    <border>
      <left style="thin">
        <color auto="1"/>
      </left>
      <right style="thin">
        <color auto="1"/>
      </right>
      <top style="thin">
        <color auto="1"/>
      </top>
      <bottom style="thin">
        <color auto="1"/>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style="thin">
        <color theme="0" tint="-0.499984740745262"/>
      </top>
      <bottom style="double">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77111117893"/>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top/>
      <bottom style="mediumDashed">
        <color theme="6"/>
      </bottom>
      <diagonal/>
    </border>
  </borders>
  <cellStyleXfs count="4">
    <xf numFmtId="0" fontId="0" fillId="0" borderId="0"/>
    <xf numFmtId="43" fontId="15" fillId="0" borderId="0" applyFont="0" applyFill="0" applyBorder="0" applyAlignment="0" applyProtection="0"/>
    <xf numFmtId="44" fontId="15" fillId="0" borderId="0" applyFont="0" applyFill="0" applyBorder="0" applyAlignment="0" applyProtection="0"/>
    <xf numFmtId="9" fontId="15" fillId="0" borderId="0" applyFont="0" applyFill="0" applyBorder="0" applyAlignment="0" applyProtection="0"/>
  </cellStyleXfs>
  <cellXfs count="210">
    <xf numFmtId="0" fontId="0" fillId="0" borderId="0" xfId="0"/>
    <xf numFmtId="0" fontId="2" fillId="0" borderId="0" xfId="0" applyFont="1"/>
    <xf numFmtId="0" fontId="6" fillId="0" borderId="0" xfId="0" applyFont="1"/>
    <xf numFmtId="0" fontId="3" fillId="0" borderId="0" xfId="0" applyFont="1"/>
    <xf numFmtId="0" fontId="4" fillId="2" borderId="0" xfId="0" applyFont="1" applyFill="1" applyAlignment="1">
      <alignment horizontal="left" vertical="center"/>
    </xf>
    <xf numFmtId="0" fontId="4" fillId="2" borderId="0" xfId="0" applyFont="1" applyFill="1" applyAlignment="1">
      <alignment horizontal="center" vertical="center"/>
    </xf>
    <xf numFmtId="14" fontId="3" fillId="0" borderId="0" xfId="0" applyNumberFormat="1" applyFont="1"/>
    <xf numFmtId="164" fontId="3" fillId="0" borderId="0" xfId="0" applyNumberFormat="1" applyFont="1" applyAlignment="1">
      <alignment horizontal="right"/>
    </xf>
    <xf numFmtId="0" fontId="5" fillId="0" borderId="0" xfId="0" applyFont="1"/>
    <xf numFmtId="0" fontId="4" fillId="2" borderId="0" xfId="0" applyFont="1" applyFill="1" applyAlignment="1">
      <alignment horizontal="left"/>
    </xf>
    <xf numFmtId="0" fontId="4" fillId="2" borderId="0" xfId="0" applyFont="1" applyFill="1" applyAlignment="1">
      <alignment horizontal="center"/>
    </xf>
    <xf numFmtId="0" fontId="3" fillId="0" borderId="0" xfId="0" applyFont="1" applyAlignment="1">
      <alignment horizontal="left" indent="1"/>
    </xf>
    <xf numFmtId="0" fontId="3" fillId="0" borderId="0" xfId="0" applyFont="1" applyAlignment="1">
      <alignment horizontal="right"/>
    </xf>
    <xf numFmtId="0" fontId="2" fillId="0" borderId="1" xfId="0" applyFont="1" applyBorder="1" applyAlignment="1">
      <alignment horizontal="left"/>
    </xf>
    <xf numFmtId="164" fontId="2" fillId="0" borderId="1" xfId="0" applyNumberFormat="1" applyFont="1" applyBorder="1" applyAlignment="1">
      <alignment horizontal="right"/>
    </xf>
    <xf numFmtId="0" fontId="2" fillId="0" borderId="2" xfId="0" applyFont="1" applyBorder="1" applyAlignment="1">
      <alignment horizontal="left"/>
    </xf>
    <xf numFmtId="164" fontId="2" fillId="0" borderId="2" xfId="0" applyNumberFormat="1" applyFont="1" applyBorder="1" applyAlignment="1">
      <alignment horizontal="right"/>
    </xf>
    <xf numFmtId="0" fontId="2" fillId="3" borderId="0" xfId="0" applyFont="1" applyFill="1"/>
    <xf numFmtId="0" fontId="3" fillId="3" borderId="0" xfId="0" applyFont="1" applyFill="1"/>
    <xf numFmtId="0" fontId="3" fillId="0" borderId="0" xfId="0" applyFont="1" applyAlignment="1">
      <alignment horizontal="left" indent="2"/>
    </xf>
    <xf numFmtId="0" fontId="2" fillId="0" borderId="1" xfId="0" applyFont="1" applyBorder="1" applyAlignment="1">
      <alignment horizontal="left" indent="1"/>
    </xf>
    <xf numFmtId="0" fontId="2" fillId="4" borderId="0" xfId="0" applyFont="1" applyFill="1"/>
    <xf numFmtId="4" fontId="6" fillId="4" borderId="0" xfId="0" applyNumberFormat="1" applyFont="1" applyFill="1"/>
    <xf numFmtId="0" fontId="3" fillId="4" borderId="0" xfId="0" applyFont="1" applyFill="1"/>
    <xf numFmtId="0" fontId="3" fillId="0" borderId="0" xfId="0" applyFont="1" applyAlignment="1">
      <alignment horizontal="left" indent="3"/>
    </xf>
    <xf numFmtId="0" fontId="2" fillId="0" borderId="1" xfId="0" applyFont="1" applyBorder="1" applyAlignment="1">
      <alignment horizontal="left" indent="2"/>
    </xf>
    <xf numFmtId="0" fontId="3" fillId="0" borderId="0" xfId="0" applyFont="1" applyAlignment="1">
      <alignment horizontal="left" indent="4"/>
    </xf>
    <xf numFmtId="0" fontId="2" fillId="0" borderId="1" xfId="0" applyFont="1" applyBorder="1" applyAlignment="1">
      <alignment horizontal="left" indent="3"/>
    </xf>
    <xf numFmtId="0" fontId="3" fillId="0" borderId="0" xfId="0" applyFont="1" applyAlignment="1">
      <alignment horizontal="left" indent="5"/>
    </xf>
    <xf numFmtId="0" fontId="2" fillId="0" borderId="1" xfId="0" applyFont="1" applyBorder="1" applyAlignment="1">
      <alignment horizontal="left" indent="4"/>
    </xf>
    <xf numFmtId="0" fontId="2" fillId="0" borderId="2" xfId="0" applyFont="1" applyBorder="1" applyAlignment="1">
      <alignment horizontal="left" indent="2"/>
    </xf>
    <xf numFmtId="0" fontId="2" fillId="0" borderId="2" xfId="0" applyFont="1" applyBorder="1" applyAlignment="1">
      <alignment horizontal="left" indent="1"/>
    </xf>
    <xf numFmtId="0" fontId="6" fillId="4" borderId="0" xfId="0" applyFont="1" applyFill="1"/>
    <xf numFmtId="0" fontId="2" fillId="5" borderId="0" xfId="0" applyFont="1" applyFill="1"/>
    <xf numFmtId="0" fontId="6" fillId="5" borderId="0" xfId="0" applyFont="1" applyFill="1"/>
    <xf numFmtId="164" fontId="6" fillId="0" borderId="0" xfId="0" applyNumberFormat="1" applyFont="1"/>
    <xf numFmtId="0" fontId="4" fillId="2" borderId="0" xfId="0" applyFont="1" applyFill="1"/>
    <xf numFmtId="0" fontId="7" fillId="0" borderId="0" xfId="0" applyFont="1"/>
    <xf numFmtId="0" fontId="1" fillId="0" borderId="0" xfId="0" applyFont="1"/>
    <xf numFmtId="0" fontId="8" fillId="0" borderId="0" xfId="0" applyFont="1"/>
    <xf numFmtId="164" fontId="0" fillId="0" borderId="0" xfId="0" applyNumberFormat="1"/>
    <xf numFmtId="164" fontId="7" fillId="0" borderId="0" xfId="0" applyNumberFormat="1" applyFont="1"/>
    <xf numFmtId="0" fontId="9" fillId="0" borderId="0" xfId="0" applyFont="1"/>
    <xf numFmtId="164" fontId="10" fillId="0" borderId="0" xfId="0" applyNumberFormat="1" applyFont="1"/>
    <xf numFmtId="164" fontId="1" fillId="0" borderId="0" xfId="0" applyNumberFormat="1" applyFont="1"/>
    <xf numFmtId="0" fontId="10" fillId="0" borderId="0" xfId="0" applyFont="1"/>
    <xf numFmtId="0" fontId="7" fillId="3" borderId="0" xfId="0" applyFont="1" applyFill="1"/>
    <xf numFmtId="0" fontId="1" fillId="3" borderId="0" xfId="0" applyFont="1" applyFill="1"/>
    <xf numFmtId="0" fontId="1" fillId="0" borderId="0" xfId="0" applyFont="1" applyAlignment="1">
      <alignment indent="1"/>
    </xf>
    <xf numFmtId="164" fontId="7" fillId="0" borderId="1" xfId="0" applyNumberFormat="1" applyFont="1" applyBorder="1"/>
    <xf numFmtId="0" fontId="7" fillId="0" borderId="2" xfId="0" applyFont="1" applyBorder="1"/>
    <xf numFmtId="164" fontId="7" fillId="0" borderId="2" xfId="0" applyNumberFormat="1" applyFont="1" applyBorder="1"/>
    <xf numFmtId="0" fontId="7" fillId="0" borderId="1" xfId="0" applyFont="1" applyBorder="1"/>
    <xf numFmtId="0" fontId="10" fillId="0" borderId="0" xfId="0" applyFont="1" applyAlignment="1">
      <alignment indent="1"/>
    </xf>
    <xf numFmtId="0" fontId="11" fillId="0" borderId="0" xfId="0" applyFont="1"/>
    <xf numFmtId="0" fontId="12" fillId="0" borderId="0" xfId="0" applyFont="1"/>
    <xf numFmtId="0" fontId="0" fillId="2" borderId="0" xfId="0" applyFill="1"/>
    <xf numFmtId="0" fontId="13" fillId="0" borderId="0" xfId="0" applyFont="1"/>
    <xf numFmtId="0" fontId="14" fillId="0" borderId="0" xfId="0" applyFont="1"/>
    <xf numFmtId="0" fontId="10" fillId="0" borderId="0" xfId="0" applyFont="1" applyAlignment="1">
      <alignment horizontal="center"/>
    </xf>
    <xf numFmtId="0" fontId="1" fillId="0" borderId="0" xfId="0" applyFont="1" applyAlignment="1">
      <alignment horizontal="center"/>
    </xf>
    <xf numFmtId="0" fontId="0" fillId="0" borderId="0" xfId="0" applyAlignment="1">
      <alignment horizontal="center"/>
    </xf>
    <xf numFmtId="164" fontId="0" fillId="0" borderId="0" xfId="0" applyNumberFormat="1" applyAlignment="1">
      <alignment horizontal="center"/>
    </xf>
    <xf numFmtId="0" fontId="6" fillId="6" borderId="0" xfId="0" applyFont="1" applyFill="1"/>
    <xf numFmtId="0" fontId="6" fillId="0" borderId="4" xfId="0" applyFont="1" applyBorder="1"/>
    <xf numFmtId="0" fontId="6" fillId="0" borderId="5" xfId="0" applyFont="1" applyBorder="1"/>
    <xf numFmtId="165" fontId="6" fillId="0" borderId="7" xfId="0" applyNumberFormat="1" applyFont="1" applyBorder="1"/>
    <xf numFmtId="165" fontId="6" fillId="0" borderId="8" xfId="0" applyNumberFormat="1" applyFont="1" applyBorder="1"/>
    <xf numFmtId="0" fontId="6" fillId="0" borderId="9" xfId="0" applyFont="1" applyBorder="1"/>
    <xf numFmtId="165" fontId="6" fillId="0" borderId="0" xfId="0" applyNumberFormat="1" applyFont="1"/>
    <xf numFmtId="165" fontId="6" fillId="0" borderId="10" xfId="0" applyNumberFormat="1" applyFont="1" applyBorder="1"/>
    <xf numFmtId="0" fontId="6" fillId="7" borderId="9" xfId="0" applyFont="1" applyFill="1" applyBorder="1"/>
    <xf numFmtId="0" fontId="16" fillId="7" borderId="0" xfId="0" applyFont="1" applyFill="1"/>
    <xf numFmtId="0" fontId="6" fillId="7" borderId="0" xfId="0" applyFont="1" applyFill="1"/>
    <xf numFmtId="0" fontId="6" fillId="0" borderId="10" xfId="0" applyFont="1" applyBorder="1"/>
    <xf numFmtId="0" fontId="6" fillId="0" borderId="11" xfId="0" applyFont="1" applyBorder="1"/>
    <xf numFmtId="0" fontId="6" fillId="0" borderId="12" xfId="0" applyFont="1" applyBorder="1"/>
    <xf numFmtId="0" fontId="6" fillId="7" borderId="10" xfId="0" applyFont="1" applyFill="1" applyBorder="1"/>
    <xf numFmtId="0" fontId="17" fillId="0" borderId="0" xfId="0" applyFont="1"/>
    <xf numFmtId="0" fontId="19" fillId="0" borderId="0" xfId="0" applyFont="1"/>
    <xf numFmtId="0" fontId="22" fillId="0" borderId="0" xfId="0" applyFont="1" applyAlignment="1">
      <alignment horizontal="left" indent="1"/>
    </xf>
    <xf numFmtId="0" fontId="6" fillId="0" borderId="6" xfId="0" applyFont="1" applyBorder="1"/>
    <xf numFmtId="0" fontId="6" fillId="0" borderId="8" xfId="0" applyFont="1" applyBorder="1"/>
    <xf numFmtId="0" fontId="17" fillId="0" borderId="0" xfId="0" quotePrefix="1" applyFont="1" applyAlignment="1">
      <alignment vertical="center"/>
    </xf>
    <xf numFmtId="167" fontId="23" fillId="9" borderId="14" xfId="0" applyNumberFormat="1" applyFont="1" applyFill="1" applyBorder="1" applyAlignment="1">
      <alignment horizontal="center"/>
    </xf>
    <xf numFmtId="0" fontId="24" fillId="0" borderId="0" xfId="0" quotePrefix="1" applyFont="1" applyAlignment="1">
      <alignment vertical="center"/>
    </xf>
    <xf numFmtId="0" fontId="6" fillId="0" borderId="15" xfId="0" applyFont="1" applyBorder="1"/>
    <xf numFmtId="167" fontId="25" fillId="0" borderId="16" xfId="0" applyNumberFormat="1" applyFont="1" applyBorder="1" applyAlignment="1">
      <alignment horizontal="center"/>
    </xf>
    <xf numFmtId="0" fontId="26" fillId="0" borderId="0" xfId="0" applyFont="1"/>
    <xf numFmtId="0" fontId="21" fillId="0" borderId="0" xfId="0" applyFont="1"/>
    <xf numFmtId="166" fontId="27" fillId="0" borderId="17" xfId="1" applyNumberFormat="1" applyFont="1" applyBorder="1"/>
    <xf numFmtId="166" fontId="27" fillId="0" borderId="4" xfId="1" applyNumberFormat="1" applyFont="1" applyBorder="1"/>
    <xf numFmtId="166" fontId="27" fillId="0" borderId="18" xfId="1" applyNumberFormat="1" applyFont="1" applyBorder="1"/>
    <xf numFmtId="0" fontId="18" fillId="0" borderId="0" xfId="0" applyFont="1"/>
    <xf numFmtId="166" fontId="26" fillId="0" borderId="19" xfId="1" applyNumberFormat="1" applyFont="1" applyBorder="1"/>
    <xf numFmtId="166" fontId="26" fillId="0" borderId="0" xfId="1" applyNumberFormat="1" applyFont="1" applyBorder="1"/>
    <xf numFmtId="166" fontId="26" fillId="0" borderId="18" xfId="1" applyNumberFormat="1" applyFont="1" applyBorder="1"/>
    <xf numFmtId="0" fontId="21" fillId="8" borderId="0" xfId="0" applyFont="1" applyFill="1"/>
    <xf numFmtId="168" fontId="21" fillId="8" borderId="19" xfId="0" applyNumberFormat="1" applyFont="1" applyFill="1" applyBorder="1"/>
    <xf numFmtId="168" fontId="21" fillId="8" borderId="0" xfId="0" applyNumberFormat="1" applyFont="1" applyFill="1"/>
    <xf numFmtId="168" fontId="21" fillId="8" borderId="18" xfId="0" applyNumberFormat="1" applyFont="1" applyFill="1" applyBorder="1"/>
    <xf numFmtId="166" fontId="21" fillId="0" borderId="19" xfId="1" applyNumberFormat="1" applyFont="1" applyBorder="1"/>
    <xf numFmtId="166" fontId="21" fillId="0" borderId="0" xfId="1" applyNumberFormat="1" applyFont="1" applyBorder="1"/>
    <xf numFmtId="166" fontId="21" fillId="0" borderId="18" xfId="1" applyNumberFormat="1" applyFont="1" applyBorder="1"/>
    <xf numFmtId="0" fontId="28" fillId="0" borderId="0" xfId="0" applyFont="1"/>
    <xf numFmtId="9" fontId="28" fillId="0" borderId="19" xfId="3" applyFont="1" applyFill="1" applyBorder="1"/>
    <xf numFmtId="9" fontId="28" fillId="0" borderId="0" xfId="3" applyFont="1" applyFill="1" applyBorder="1"/>
    <xf numFmtId="9" fontId="28" fillId="0" borderId="18" xfId="3" applyFont="1" applyFill="1" applyBorder="1"/>
    <xf numFmtId="0" fontId="26" fillId="0" borderId="19" xfId="0" applyFont="1" applyBorder="1"/>
    <xf numFmtId="0" fontId="26" fillId="0" borderId="18" xfId="0" applyFont="1" applyBorder="1"/>
    <xf numFmtId="166" fontId="27" fillId="0" borderId="19" xfId="1" applyNumberFormat="1" applyFont="1" applyBorder="1"/>
    <xf numFmtId="166" fontId="27" fillId="0" borderId="0" xfId="1" applyNumberFormat="1" applyFont="1" applyBorder="1"/>
    <xf numFmtId="0" fontId="22" fillId="0" borderId="0" xfId="0" applyFont="1"/>
    <xf numFmtId="166" fontId="26" fillId="0" borderId="20" xfId="1" applyNumberFormat="1" applyFont="1" applyBorder="1"/>
    <xf numFmtId="0" fontId="21" fillId="8" borderId="21" xfId="0" applyFont="1" applyFill="1" applyBorder="1"/>
    <xf numFmtId="168" fontId="21" fillId="8" borderId="21" xfId="0" applyNumberFormat="1" applyFont="1" applyFill="1" applyBorder="1"/>
    <xf numFmtId="168" fontId="21" fillId="8" borderId="22" xfId="0" applyNumberFormat="1" applyFont="1" applyFill="1" applyBorder="1"/>
    <xf numFmtId="168" fontId="21" fillId="8" borderId="23" xfId="0" applyNumberFormat="1" applyFont="1" applyFill="1" applyBorder="1"/>
    <xf numFmtId="166" fontId="28" fillId="0" borderId="0" xfId="1" applyNumberFormat="1" applyFont="1" applyFill="1" applyBorder="1"/>
    <xf numFmtId="0" fontId="6" fillId="0" borderId="7" xfId="0" applyFont="1" applyBorder="1"/>
    <xf numFmtId="0" fontId="24" fillId="0" borderId="0" xfId="0" applyFont="1" applyAlignment="1">
      <alignment horizontal="center"/>
    </xf>
    <xf numFmtId="0" fontId="24" fillId="0" borderId="0" xfId="0" quotePrefix="1" applyFont="1" applyAlignment="1">
      <alignment horizontal="center" vertical="center"/>
    </xf>
    <xf numFmtId="14" fontId="29" fillId="0" borderId="0" xfId="0" applyNumberFormat="1" applyFont="1"/>
    <xf numFmtId="167" fontId="30" fillId="0" borderId="24" xfId="0" applyNumberFormat="1" applyFont="1" applyBorder="1" applyAlignment="1">
      <alignment horizontal="center"/>
    </xf>
    <xf numFmtId="0" fontId="31" fillId="0" borderId="16" xfId="0" applyFont="1" applyBorder="1" applyAlignment="1">
      <alignment horizontal="center"/>
    </xf>
    <xf numFmtId="166" fontId="27" fillId="0" borderId="25" xfId="1" applyNumberFormat="1" applyFont="1" applyBorder="1"/>
    <xf numFmtId="166" fontId="22" fillId="0" borderId="25" xfId="1" applyNumberFormat="1" applyFont="1" applyBorder="1"/>
    <xf numFmtId="166" fontId="26" fillId="0" borderId="25" xfId="1" applyNumberFormat="1" applyFont="1" applyBorder="1"/>
    <xf numFmtId="168" fontId="21" fillId="8" borderId="25" xfId="0" applyNumberFormat="1" applyFont="1" applyFill="1" applyBorder="1"/>
    <xf numFmtId="166" fontId="21" fillId="0" borderId="25" xfId="1" applyNumberFormat="1" applyFont="1" applyBorder="1"/>
    <xf numFmtId="9" fontId="28" fillId="0" borderId="25" xfId="3" applyFont="1" applyFill="1" applyBorder="1"/>
    <xf numFmtId="0" fontId="26" fillId="0" borderId="25" xfId="0" applyFont="1" applyBorder="1"/>
    <xf numFmtId="168" fontId="21" fillId="8" borderId="26" xfId="0" applyNumberFormat="1" applyFont="1" applyFill="1" applyBorder="1"/>
    <xf numFmtId="0" fontId="28" fillId="0" borderId="7" xfId="0" applyFont="1" applyBorder="1"/>
    <xf numFmtId="166" fontId="28" fillId="0" borderId="7" xfId="1" applyNumberFormat="1" applyFont="1" applyFill="1" applyBorder="1"/>
    <xf numFmtId="4" fontId="32" fillId="4" borderId="0" xfId="0" applyNumberFormat="1" applyFont="1" applyFill="1"/>
    <xf numFmtId="164" fontId="33" fillId="0" borderId="0" xfId="0" applyNumberFormat="1" applyFont="1"/>
    <xf numFmtId="164" fontId="34" fillId="0" borderId="0" xfId="0" applyNumberFormat="1" applyFont="1"/>
    <xf numFmtId="0" fontId="6" fillId="0" borderId="0" xfId="0" applyFont="1" applyAlignment="1">
      <alignment horizontal="center"/>
    </xf>
    <xf numFmtId="14" fontId="35" fillId="0" borderId="0" xfId="0" applyNumberFormat="1" applyFont="1"/>
    <xf numFmtId="166" fontId="32" fillId="0" borderId="25" xfId="1" applyNumberFormat="1" applyFont="1" applyBorder="1"/>
    <xf numFmtId="166" fontId="32" fillId="0" borderId="19" xfId="1" applyNumberFormat="1" applyFont="1" applyBorder="1"/>
    <xf numFmtId="166" fontId="32" fillId="0" borderId="0" xfId="1" applyNumberFormat="1" applyFont="1" applyBorder="1"/>
    <xf numFmtId="166" fontId="32" fillId="0" borderId="18" xfId="1" applyNumberFormat="1" applyFont="1" applyBorder="1"/>
    <xf numFmtId="0" fontId="36" fillId="0" borderId="3" xfId="0" applyFont="1" applyBorder="1" applyAlignment="1">
      <alignment horizontal="left" vertical="center"/>
    </xf>
    <xf numFmtId="14" fontId="37" fillId="0" borderId="6" xfId="0" applyNumberFormat="1" applyFont="1" applyBorder="1" applyAlignment="1">
      <alignment horizontal="left" vertical="center"/>
    </xf>
    <xf numFmtId="0" fontId="20" fillId="11" borderId="13" xfId="0" applyFont="1" applyFill="1" applyBorder="1"/>
    <xf numFmtId="166" fontId="32" fillId="0" borderId="0" xfId="1" applyNumberFormat="1" applyFont="1" applyFill="1" applyBorder="1"/>
    <xf numFmtId="166" fontId="26" fillId="0" borderId="0" xfId="1" applyNumberFormat="1" applyFont="1" applyFill="1" applyBorder="1"/>
    <xf numFmtId="166" fontId="21" fillId="0" borderId="0" xfId="1" applyNumberFormat="1" applyFont="1" applyFill="1" applyBorder="1"/>
    <xf numFmtId="166" fontId="27" fillId="0" borderId="0" xfId="1" applyNumberFormat="1" applyFont="1" applyFill="1" applyBorder="1"/>
    <xf numFmtId="0" fontId="20" fillId="0" borderId="15" xfId="0" applyFont="1" applyBorder="1"/>
    <xf numFmtId="168" fontId="21" fillId="0" borderId="0" xfId="0" applyNumberFormat="1" applyFont="1"/>
    <xf numFmtId="1" fontId="3" fillId="0" borderId="0" xfId="0" applyNumberFormat="1" applyFont="1" applyAlignment="1">
      <alignment horizontal="right"/>
    </xf>
    <xf numFmtId="0" fontId="24" fillId="0" borderId="0" xfId="0" applyFont="1"/>
    <xf numFmtId="0" fontId="4" fillId="10" borderId="0" xfId="0" applyFont="1" applyFill="1" applyAlignment="1">
      <alignment horizontal="center" vertical="center"/>
    </xf>
    <xf numFmtId="0" fontId="0" fillId="0" borderId="0" xfId="0" pivotButton="1"/>
    <xf numFmtId="0" fontId="0" fillId="0" borderId="0" xfId="0" applyAlignment="1">
      <alignment horizontal="left"/>
    </xf>
    <xf numFmtId="169" fontId="32" fillId="0" borderId="0" xfId="2" applyNumberFormat="1" applyFont="1" applyFill="1" applyBorder="1"/>
    <xf numFmtId="169" fontId="6" fillId="0" borderId="0" xfId="2" applyNumberFormat="1" applyFont="1" applyFill="1" applyBorder="1"/>
    <xf numFmtId="167" fontId="19" fillId="0" borderId="0" xfId="0" applyNumberFormat="1" applyFont="1"/>
    <xf numFmtId="167" fontId="6" fillId="0" borderId="0" xfId="0" applyNumberFormat="1" applyFont="1"/>
    <xf numFmtId="170" fontId="6" fillId="0" borderId="0" xfId="0" applyNumberFormat="1" applyFont="1"/>
    <xf numFmtId="14" fontId="6" fillId="0" borderId="0" xfId="0" applyNumberFormat="1" applyFont="1"/>
    <xf numFmtId="166" fontId="6" fillId="0" borderId="0" xfId="1" applyNumberFormat="1" applyFont="1" applyFill="1" applyBorder="1"/>
    <xf numFmtId="0" fontId="32" fillId="0" borderId="0" xfId="0" applyFont="1"/>
    <xf numFmtId="0" fontId="6" fillId="0" borderId="29" xfId="0" applyFont="1" applyBorder="1"/>
    <xf numFmtId="0" fontId="6" fillId="0" borderId="30" xfId="0" applyFont="1" applyBorder="1"/>
    <xf numFmtId="0" fontId="6" fillId="0" borderId="31" xfId="0" applyFont="1" applyBorder="1"/>
    <xf numFmtId="0" fontId="6" fillId="0" borderId="32" xfId="0" applyFont="1" applyBorder="1"/>
    <xf numFmtId="0" fontId="6" fillId="0" borderId="33" xfId="0" applyFont="1" applyBorder="1"/>
    <xf numFmtId="0" fontId="6" fillId="0" borderId="20" xfId="0" applyFont="1" applyBorder="1"/>
    <xf numFmtId="0" fontId="6" fillId="0" borderId="34" xfId="0" applyFont="1" applyBorder="1"/>
    <xf numFmtId="0" fontId="36" fillId="0" borderId="28" xfId="0" applyFont="1" applyBorder="1" applyAlignment="1">
      <alignment horizontal="left" vertical="center"/>
    </xf>
    <xf numFmtId="0" fontId="36" fillId="0" borderId="35" xfId="0" applyFont="1" applyBorder="1" applyAlignment="1">
      <alignment horizontal="left" vertical="center"/>
    </xf>
    <xf numFmtId="14" fontId="39" fillId="0" borderId="33" xfId="0" applyNumberFormat="1" applyFont="1" applyBorder="1" applyAlignment="1">
      <alignment horizontal="left" vertical="center"/>
    </xf>
    <xf numFmtId="0" fontId="6" fillId="0" borderId="20" xfId="0" applyFont="1" applyBorder="1" applyAlignment="1">
      <alignment horizontal="left"/>
    </xf>
    <xf numFmtId="14" fontId="6" fillId="0" borderId="0" xfId="0" applyNumberFormat="1" applyFont="1" applyAlignment="1">
      <alignment horizontal="left"/>
    </xf>
    <xf numFmtId="0" fontId="6" fillId="0" borderId="0" xfId="0" applyFont="1" applyAlignment="1">
      <alignment horizontal="left"/>
    </xf>
    <xf numFmtId="0" fontId="19" fillId="7" borderId="0" xfId="0" applyFont="1" applyFill="1"/>
    <xf numFmtId="167" fontId="19" fillId="7" borderId="0" xfId="0" applyNumberFormat="1" applyFont="1" applyFill="1"/>
    <xf numFmtId="167" fontId="6" fillId="7" borderId="0" xfId="0" applyNumberFormat="1" applyFont="1" applyFill="1"/>
    <xf numFmtId="164" fontId="0" fillId="0" borderId="36" xfId="0" applyNumberFormat="1" applyBorder="1"/>
    <xf numFmtId="164" fontId="0" fillId="0" borderId="37" xfId="0" applyNumberFormat="1" applyBorder="1"/>
    <xf numFmtId="164" fontId="0" fillId="0" borderId="38" xfId="0" applyNumberFormat="1" applyBorder="1"/>
    <xf numFmtId="0" fontId="0" fillId="0" borderId="27" xfId="0" applyBorder="1"/>
    <xf numFmtId="0" fontId="0" fillId="0" borderId="36" xfId="0" applyBorder="1" applyAlignment="1">
      <alignment horizontal="left"/>
    </xf>
    <xf numFmtId="0" fontId="0" fillId="0" borderId="37" xfId="0" applyBorder="1" applyAlignment="1">
      <alignment horizontal="left"/>
    </xf>
    <xf numFmtId="0" fontId="0" fillId="0" borderId="38" xfId="0" applyBorder="1" applyAlignment="1">
      <alignment horizontal="left"/>
    </xf>
    <xf numFmtId="0" fontId="0" fillId="0" borderId="27" xfId="0" applyBorder="1" applyAlignment="1">
      <alignment horizontal="left"/>
    </xf>
    <xf numFmtId="0" fontId="40" fillId="0" borderId="0" xfId="0" applyFont="1"/>
    <xf numFmtId="0" fontId="41" fillId="0" borderId="0" xfId="0" applyFont="1"/>
    <xf numFmtId="14" fontId="42" fillId="12" borderId="0" xfId="0" applyNumberFormat="1" applyFont="1" applyFill="1"/>
    <xf numFmtId="0" fontId="43" fillId="0" borderId="0" xfId="0" applyFont="1"/>
    <xf numFmtId="1" fontId="43" fillId="0" borderId="0" xfId="0" applyNumberFormat="1" applyFont="1"/>
    <xf numFmtId="0" fontId="44" fillId="13" borderId="0" xfId="0" applyFont="1" applyFill="1"/>
    <xf numFmtId="0" fontId="40" fillId="13" borderId="0" xfId="0" applyFont="1" applyFill="1"/>
    <xf numFmtId="0" fontId="19" fillId="0" borderId="0" xfId="0" applyFont="1" applyAlignment="1">
      <alignment wrapText="1"/>
    </xf>
    <xf numFmtId="0" fontId="6" fillId="0" borderId="0" xfId="0" applyFont="1" applyAlignment="1">
      <alignment wrapText="1"/>
    </xf>
    <xf numFmtId="14" fontId="40" fillId="0" borderId="0" xfId="0" applyNumberFormat="1" applyFont="1"/>
    <xf numFmtId="170" fontId="32" fillId="0" borderId="7" xfId="0" applyNumberFormat="1" applyFont="1" applyBorder="1" applyAlignment="1">
      <alignment horizontal="center"/>
    </xf>
    <xf numFmtId="170" fontId="32" fillId="0" borderId="0" xfId="0" applyNumberFormat="1" applyFont="1" applyAlignment="1">
      <alignment horizontal="center"/>
    </xf>
    <xf numFmtId="0" fontId="45" fillId="0" borderId="4" xfId="0" applyFont="1" applyBorder="1" applyAlignment="1">
      <alignment horizontal="center"/>
    </xf>
    <xf numFmtId="166" fontId="0" fillId="0" borderId="0" xfId="0" applyNumberFormat="1"/>
    <xf numFmtId="0" fontId="22" fillId="0" borderId="39" xfId="0" applyFont="1" applyBorder="1" applyAlignment="1">
      <alignment horizontal="left" indent="1"/>
    </xf>
    <xf numFmtId="166" fontId="32" fillId="0" borderId="39" xfId="1" applyNumberFormat="1" applyFont="1" applyFill="1" applyBorder="1"/>
    <xf numFmtId="14" fontId="37" fillId="0" borderId="9" xfId="0" applyNumberFormat="1" applyFont="1" applyBorder="1" applyAlignment="1">
      <alignment horizontal="left" vertical="center"/>
    </xf>
    <xf numFmtId="0" fontId="46" fillId="0" borderId="0" xfId="0" applyFont="1"/>
    <xf numFmtId="17" fontId="4" fillId="2" borderId="0" xfId="0" applyNumberFormat="1" applyFont="1" applyFill="1" applyAlignment="1">
      <alignment horizontal="center"/>
    </xf>
    <xf numFmtId="17" fontId="6" fillId="0" borderId="0" xfId="0" quotePrefix="1" applyNumberFormat="1" applyFont="1"/>
  </cellXfs>
  <cellStyles count="4">
    <cellStyle name="Comma" xfId="1" builtinId="3"/>
    <cellStyle name="Currency" xfId="2" builtinId="4"/>
    <cellStyle name="Normal" xfId="0" builtinId="0"/>
    <cellStyle name="Percent" xfId="3" builtinId="5"/>
  </cellStyles>
  <dxfs count="76">
    <dxf>
      <font>
        <b/>
        <sz val="10"/>
        <name val="Arial"/>
      </font>
      <fill>
        <patternFill patternType="solid">
          <fgColor rgb="FFC6EFCE"/>
        </patternFill>
      </fill>
    </dxf>
    <dxf>
      <font>
        <b/>
        <sz val="10"/>
        <name val="Arial"/>
      </font>
      <fill>
        <patternFill patternType="solid">
          <fgColor rgb="FFFFC7CE"/>
        </patternFill>
      </fill>
    </dxf>
    <dxf>
      <font>
        <b/>
        <sz val="10"/>
        <name val="Arial"/>
      </font>
      <fill>
        <patternFill patternType="solid">
          <fgColor rgb="FFC6EFCE"/>
        </patternFill>
      </fill>
    </dxf>
    <dxf>
      <font>
        <b/>
        <sz val="10"/>
        <name val="Arial"/>
      </font>
      <fill>
        <patternFill patternType="solid">
          <fgColor rgb="FFFFC7CE"/>
        </patternFill>
      </fill>
    </dxf>
    <dxf>
      <font>
        <b/>
        <sz val="10"/>
        <name val="Arial"/>
      </font>
      <fill>
        <patternFill patternType="solid">
          <fgColor rgb="FFC6EFCE"/>
        </patternFill>
      </fill>
    </dxf>
    <dxf>
      <font>
        <b/>
        <sz val="10"/>
        <name val="Arial"/>
      </font>
      <fill>
        <patternFill patternType="solid">
          <fgColor rgb="FFFFC7CE"/>
        </patternFill>
      </fill>
    </dxf>
    <dxf>
      <font>
        <b/>
        <sz val="10"/>
        <name val="Arial"/>
      </font>
      <fill>
        <patternFill patternType="solid">
          <fgColor rgb="FFC6EFCE"/>
        </patternFill>
      </fill>
    </dxf>
    <dxf>
      <font>
        <b/>
        <sz val="10"/>
        <name val="Arial"/>
      </font>
      <fill>
        <patternFill patternType="solid">
          <fgColor rgb="FFFFC7CE"/>
        </patternFill>
      </fill>
    </dxf>
    <dxf>
      <font>
        <b/>
        <sz val="10"/>
        <name val="Arial"/>
      </font>
      <fill>
        <patternFill patternType="solid">
          <fgColor rgb="FFC6EFCE"/>
        </patternFill>
      </fill>
    </dxf>
    <dxf>
      <font>
        <b/>
        <sz val="10"/>
        <name val="Arial"/>
      </font>
      <fill>
        <patternFill patternType="solid">
          <fgColor rgb="FFFFC7CE"/>
        </patternFill>
      </fill>
    </dxf>
    <dxf>
      <font>
        <b/>
        <sz val="10"/>
        <color rgb="FF000000"/>
        <name val="Arial"/>
      </font>
      <fill>
        <patternFill patternType="solid">
          <fgColor rgb="FFFFC7CE"/>
        </patternFill>
      </fill>
    </dxf>
    <dxf>
      <font>
        <b/>
        <sz val="10"/>
        <color rgb="FF000000"/>
        <name val="Arial"/>
      </font>
      <fill>
        <patternFill patternType="solid">
          <fgColor rgb="FFC6EFCE"/>
        </patternFill>
      </fill>
    </dxf>
    <dxf>
      <fill>
        <patternFill patternType="solid">
          <fgColor rgb="FFF2F2F2"/>
        </patternFill>
      </fill>
    </dxf>
    <dxf>
      <font>
        <sz val="10"/>
        <color rgb="FF9C5700"/>
        <name val="Arial"/>
      </font>
      <fill>
        <patternFill patternType="solid">
          <fgColor rgb="FFFFEB9C"/>
        </patternFill>
      </fill>
    </dxf>
    <dxf>
      <font>
        <sz val="10"/>
        <color rgb="FF9C0006"/>
        <name val="Arial"/>
      </font>
      <fill>
        <patternFill patternType="solid">
          <fgColor rgb="FFFFC7CE"/>
        </patternFill>
      </fill>
    </dxf>
    <dxf>
      <font>
        <sz val="10"/>
        <color rgb="FF276221"/>
        <name val="Arial"/>
      </font>
      <fill>
        <patternFill patternType="solid">
          <fgColor rgb="FFC6EFCE"/>
        </patternFill>
      </fill>
    </dxf>
    <dxf>
      <font>
        <b/>
        <sz val="10"/>
        <name val="Arial"/>
      </font>
      <fill>
        <patternFill patternType="solid">
          <fgColor rgb="FFC6EFCE"/>
        </patternFill>
      </fill>
    </dxf>
    <dxf>
      <font>
        <b/>
        <sz val="10"/>
        <name val="Arial"/>
      </font>
      <fill>
        <patternFill patternType="solid">
          <fgColor rgb="FFFFC7CE"/>
        </patternFill>
      </fill>
    </dxf>
    <dxf>
      <font>
        <b/>
        <sz val="10"/>
        <name val="Arial"/>
      </font>
      <fill>
        <patternFill patternType="solid">
          <fgColor rgb="FFC6EFCE"/>
        </patternFill>
      </fill>
    </dxf>
    <dxf>
      <font>
        <b/>
        <sz val="10"/>
        <name val="Arial"/>
      </font>
      <fill>
        <patternFill patternType="solid">
          <fgColor rgb="FFFFC7CE"/>
        </patternFill>
      </fill>
    </dxf>
    <dxf>
      <font>
        <b/>
        <sz val="10"/>
        <name val="Arial"/>
      </font>
      <fill>
        <patternFill patternType="solid">
          <fgColor rgb="FFC6EFCE"/>
        </patternFill>
      </fill>
    </dxf>
    <dxf>
      <font>
        <b/>
        <sz val="10"/>
        <name val="Arial"/>
      </font>
      <fill>
        <patternFill patternType="solid">
          <fgColor rgb="FFFFC7CE"/>
        </patternFill>
      </fill>
    </dxf>
    <dxf>
      <font>
        <b/>
        <sz val="10"/>
        <name val="Arial"/>
      </font>
      <fill>
        <patternFill patternType="solid">
          <fgColor rgb="FFC6EFCE"/>
        </patternFill>
      </fill>
    </dxf>
    <dxf>
      <font>
        <b/>
        <sz val="10"/>
        <name val="Arial"/>
      </font>
      <fill>
        <patternFill patternType="solid">
          <fgColor rgb="FFFFC7CE"/>
        </patternFill>
      </fill>
    </dxf>
    <dxf>
      <font>
        <b/>
        <sz val="10"/>
        <name val="Arial"/>
      </font>
      <fill>
        <patternFill patternType="solid">
          <fgColor rgb="FFC6EFCE"/>
        </patternFill>
      </fill>
    </dxf>
    <dxf>
      <font>
        <b/>
        <sz val="10"/>
        <name val="Arial"/>
      </font>
      <fill>
        <patternFill patternType="solid">
          <fgColor rgb="FFFFC7CE"/>
        </patternFill>
      </fill>
    </dxf>
    <dxf>
      <font>
        <b/>
        <sz val="10"/>
        <color rgb="FFC00000"/>
        <name val="Arial"/>
      </font>
      <fill>
        <patternFill patternType="solid">
          <fgColor rgb="FFFFE0E0"/>
        </patternFill>
      </fill>
    </dxf>
    <dxf>
      <font>
        <b/>
        <sz val="10"/>
        <color rgb="FFC00000"/>
        <name val="Arial"/>
      </font>
      <fill>
        <patternFill patternType="solid">
          <fgColor rgb="FFFFE0E0"/>
        </patternFill>
      </fill>
    </dxf>
    <dxf>
      <font>
        <b/>
        <sz val="10"/>
        <color rgb="FFC00000"/>
        <name val="Arial"/>
      </font>
      <fill>
        <patternFill patternType="solid">
          <fgColor rgb="FFFFE0E0"/>
        </patternFill>
      </fill>
    </dxf>
    <dxf>
      <font>
        <b/>
        <sz val="10"/>
        <color rgb="FFC00000"/>
        <name val="Arial"/>
      </font>
      <fill>
        <patternFill patternType="solid">
          <fgColor rgb="FFFFE0E0"/>
        </patternFill>
      </fill>
    </dxf>
    <dxf>
      <font>
        <b val="0"/>
        <i val="0"/>
        <strike val="0"/>
        <condense val="0"/>
        <extend val="0"/>
        <outline val="0"/>
        <shadow val="0"/>
        <u val="none"/>
        <vertAlign val="baseline"/>
        <sz val="9"/>
        <color theme="1"/>
        <name val="Arial"/>
        <family val="2"/>
        <scheme val="none"/>
      </font>
      <numFmt numFmtId="19" formatCode="m/d/yyyy"/>
    </dxf>
    <dxf>
      <font>
        <b val="0"/>
        <i val="0"/>
        <strike val="0"/>
        <condense val="0"/>
        <extend val="0"/>
        <outline val="0"/>
        <shadow val="0"/>
        <u val="none"/>
        <vertAlign val="baseline"/>
        <sz val="9"/>
        <color theme="1"/>
        <name val="Arial"/>
        <family val="2"/>
        <scheme val="none"/>
      </font>
      <numFmt numFmtId="19" formatCode="m/d/yyyy"/>
    </dxf>
    <dxf>
      <font>
        <b val="0"/>
        <i val="0"/>
        <strike val="0"/>
        <condense val="0"/>
        <extend val="0"/>
        <outline val="0"/>
        <shadow val="0"/>
        <u val="none"/>
        <vertAlign val="baseline"/>
        <sz val="9"/>
        <color theme="1"/>
        <name val="Arial"/>
        <family val="2"/>
        <scheme val="none"/>
      </font>
    </dxf>
    <dxf>
      <font>
        <b/>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9"/>
        <color theme="1"/>
        <name val="Arial"/>
        <family val="2"/>
        <scheme val="none"/>
      </font>
      <numFmt numFmtId="19" formatCode="m/d/yyyy"/>
    </dxf>
    <dxf>
      <font>
        <b val="0"/>
        <i val="0"/>
        <strike val="0"/>
        <condense val="0"/>
        <extend val="0"/>
        <outline val="0"/>
        <shadow val="0"/>
        <u val="none"/>
        <vertAlign val="baseline"/>
        <sz val="9"/>
        <color theme="1"/>
        <name val="Arial"/>
        <family val="2"/>
        <scheme val="none"/>
      </font>
      <numFmt numFmtId="19" formatCode="m/d/yyyy"/>
    </dxf>
    <dxf>
      <font>
        <b val="0"/>
        <i val="0"/>
        <strike val="0"/>
        <condense val="0"/>
        <extend val="0"/>
        <outline val="0"/>
        <shadow val="0"/>
        <u val="none"/>
        <vertAlign val="baseline"/>
        <sz val="9"/>
        <color theme="1"/>
        <name val="Arial"/>
        <family val="2"/>
        <scheme val="none"/>
      </font>
      <numFmt numFmtId="19" formatCode="m/d/yyyy"/>
    </dxf>
    <dxf>
      <font>
        <b val="0"/>
        <i val="0"/>
        <strike val="0"/>
        <condense val="0"/>
        <extend val="0"/>
        <outline val="0"/>
        <shadow val="0"/>
        <u val="none"/>
        <vertAlign val="baseline"/>
        <sz val="9"/>
        <color theme="1"/>
        <name val="Arial"/>
        <family val="2"/>
        <scheme val="none"/>
      </font>
      <numFmt numFmtId="19" formatCode="m/d/yyyy"/>
    </dxf>
    <dxf>
      <font>
        <b val="0"/>
        <i val="0"/>
        <strike val="0"/>
        <condense val="0"/>
        <extend val="0"/>
        <outline val="0"/>
        <shadow val="0"/>
        <u val="none"/>
        <vertAlign val="baseline"/>
        <sz val="9"/>
        <color theme="1"/>
        <name val="Arial"/>
        <family val="2"/>
        <scheme val="none"/>
      </font>
      <numFmt numFmtId="19" formatCode="m/d/yyyy"/>
    </dxf>
    <dxf>
      <font>
        <b val="0"/>
        <i val="0"/>
        <strike val="0"/>
        <condense val="0"/>
        <extend val="0"/>
        <outline val="0"/>
        <shadow val="0"/>
        <u val="none"/>
        <vertAlign val="baseline"/>
        <sz val="9"/>
        <color theme="1"/>
        <name val="Arial"/>
        <family val="2"/>
        <scheme val="none"/>
      </font>
      <numFmt numFmtId="19" formatCode="m/d/yyyy"/>
    </dxf>
    <dxf>
      <font>
        <b val="0"/>
        <i val="0"/>
        <strike val="0"/>
        <condense val="0"/>
        <extend val="0"/>
        <outline val="0"/>
        <shadow val="0"/>
        <u val="none"/>
        <vertAlign val="baseline"/>
        <sz val="9"/>
        <color theme="1"/>
        <name val="Arial"/>
        <family val="2"/>
        <scheme val="none"/>
      </font>
      <numFmt numFmtId="0" formatCode="General"/>
    </dxf>
    <dxf>
      <font>
        <b val="0"/>
        <i val="0"/>
        <strike val="0"/>
        <condense val="0"/>
        <extend val="0"/>
        <outline val="0"/>
        <shadow val="0"/>
        <u val="none"/>
        <vertAlign val="baseline"/>
        <sz val="9"/>
        <color theme="1"/>
        <name val="Arial"/>
        <family val="2"/>
        <scheme val="none"/>
      </font>
      <numFmt numFmtId="19" formatCode="m/d/yyyy"/>
    </dxf>
    <dxf>
      <font>
        <b val="0"/>
        <i val="0"/>
        <strike val="0"/>
        <condense val="0"/>
        <extend val="0"/>
        <outline val="0"/>
        <shadow val="0"/>
        <u val="none"/>
        <vertAlign val="baseline"/>
        <sz val="9"/>
        <color theme="1"/>
        <name val="Arial"/>
        <family val="2"/>
        <scheme val="none"/>
      </font>
      <numFmt numFmtId="19" formatCode="m/d/yyyy"/>
    </dxf>
    <dxf>
      <font>
        <b val="0"/>
        <i val="0"/>
        <strike val="0"/>
        <condense val="0"/>
        <extend val="0"/>
        <outline val="0"/>
        <shadow val="0"/>
        <u val="none"/>
        <vertAlign val="baseline"/>
        <sz val="9"/>
        <color theme="1"/>
        <name val="Arial"/>
        <family val="2"/>
        <scheme val="none"/>
      </font>
      <numFmt numFmtId="0" formatCode="General"/>
    </dxf>
    <dxf>
      <font>
        <b val="0"/>
        <i val="0"/>
        <strike val="0"/>
        <condense val="0"/>
        <extend val="0"/>
        <outline val="0"/>
        <shadow val="0"/>
        <u val="none"/>
        <vertAlign val="baseline"/>
        <sz val="9"/>
        <color theme="1"/>
        <name val="Arial"/>
        <family val="2"/>
        <scheme val="none"/>
      </font>
      <numFmt numFmtId="0" formatCode="General"/>
    </dxf>
    <dxf>
      <font>
        <b val="0"/>
        <i val="0"/>
        <strike val="0"/>
        <condense val="0"/>
        <extend val="0"/>
        <outline val="0"/>
        <shadow val="0"/>
        <u val="none"/>
        <vertAlign val="baseline"/>
        <sz val="9"/>
        <color theme="1"/>
        <name val="Arial"/>
        <family val="2"/>
        <scheme val="none"/>
      </font>
      <numFmt numFmtId="19" formatCode="m/d/yyyy"/>
    </dxf>
    <dxf>
      <font>
        <b val="0"/>
        <i val="0"/>
        <strike val="0"/>
        <condense val="0"/>
        <extend val="0"/>
        <outline val="0"/>
        <shadow val="0"/>
        <u val="none"/>
        <vertAlign val="baseline"/>
        <sz val="9"/>
        <color theme="1"/>
        <name val="Arial"/>
        <family val="2"/>
        <scheme val="none"/>
      </font>
    </dxf>
    <dxf>
      <font>
        <b val="0"/>
        <i val="0"/>
        <strike val="0"/>
        <condense val="0"/>
        <extend val="0"/>
        <outline val="0"/>
        <shadow val="0"/>
        <u val="none"/>
        <vertAlign val="baseline"/>
        <sz val="10"/>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9" formatCode="m/d/yyyy"/>
      <alignment horizontal="left" vertical="bottom" textRotation="0" wrapText="0" indent="0" justifyLastLine="0" shrinkToFit="0" readingOrder="0"/>
    </dxf>
    <dxf>
      <numFmt numFmtId="166" formatCode="_(* #,##0_);_(* \(#,##0\);_(* &quot;-&quot;??_);_(@_)"/>
    </dxf>
    <dxf>
      <numFmt numFmtId="166" formatCode="_(* #,##0_);_(* \(#,##0\);_(* &quot;-&quot;??_);_(@_)"/>
    </dxf>
    <dxf>
      <border>
        <left style="thin">
          <color theme="0" tint="-0.499984740745262"/>
        </left>
      </border>
    </dxf>
    <dxf>
      <border>
        <left style="thin">
          <color theme="0" tint="-0.499984740745262"/>
        </left>
      </border>
    </dxf>
    <dxf>
      <border>
        <left style="thin">
          <color theme="0" tint="-0.499984740745262"/>
        </left>
      </border>
    </dxf>
    <dxf>
      <border>
        <left style="thin">
          <color theme="0" tint="-0.499984740745262"/>
        </left>
      </border>
    </dxf>
    <dxf>
      <border>
        <left style="thin">
          <color theme="0" tint="-0.499984740745262"/>
        </left>
      </border>
    </dxf>
    <dxf>
      <border>
        <left style="thin">
          <color theme="0" tint="-0.499984740745262"/>
        </left>
      </border>
    </dxf>
    <dxf>
      <border>
        <left style="thin">
          <color theme="0" tint="-0.499984740745262"/>
        </left>
      </border>
    </dxf>
    <dxf>
      <border>
        <left style="thin">
          <color theme="0" tint="-0.499984740745262"/>
        </left>
        <top style="thin">
          <color theme="0" tint="-0.499984740745262"/>
        </top>
      </border>
    </dxf>
    <dxf>
      <border>
        <left style="thin">
          <color theme="0" tint="-0.499984740745262"/>
        </left>
        <top style="thin">
          <color theme="0" tint="-0.499984740745262"/>
        </top>
      </border>
    </dxf>
    <dxf>
      <border>
        <left style="thin">
          <color theme="0" tint="-0.499984740745262"/>
        </left>
        <top style="thin">
          <color theme="0" tint="-0.499984740745262"/>
        </top>
      </border>
    </dxf>
    <dxf>
      <border>
        <left style="thin">
          <color theme="0" tint="-0.499984740745262"/>
        </left>
        <top style="thin">
          <color theme="0" tint="-0.499984740745262"/>
        </top>
      </border>
    </dxf>
    <dxf>
      <border>
        <left style="thin">
          <color theme="0" tint="-0.499984740745262"/>
        </left>
        <top style="thin">
          <color theme="0" tint="-0.499984740745262"/>
        </top>
      </border>
    </dxf>
    <dxf>
      <border>
        <left style="thin">
          <color theme="0" tint="-0.499984740745262"/>
        </left>
        <top style="thin">
          <color theme="0" tint="-0.499984740745262"/>
        </top>
      </border>
    </dxf>
    <dxf>
      <border>
        <left style="thin">
          <color theme="0" tint="-0.499984740745262"/>
        </left>
        <right style="thin">
          <color theme="0" tint="-0.499984740745262"/>
        </right>
        <top style="thin">
          <color theme="0" tint="-0.499984740745262"/>
        </top>
        <bottom style="thin">
          <color theme="0" tint="-0.499984740745262"/>
        </bottom>
      </border>
    </dxf>
    <dxf>
      <border>
        <left style="thin">
          <color theme="0" tint="-0.499984740745262"/>
        </left>
        <right style="thin">
          <color theme="0" tint="-0.499984740745262"/>
        </right>
        <top style="thin">
          <color theme="0" tint="-0.499984740745262"/>
        </top>
        <bottom style="thin">
          <color theme="0" tint="-0.499984740745262"/>
        </bottom>
      </border>
    </dxf>
    <dxf>
      <border>
        <left style="thin">
          <color theme="0" tint="-0.499984740745262"/>
        </left>
        <right style="thin">
          <color theme="0" tint="-0.499984740745262"/>
        </right>
        <top style="thin">
          <color theme="0" tint="-0.499984740745262"/>
        </top>
        <bottom style="thin">
          <color theme="0" tint="-0.499984740745262"/>
        </bottom>
      </border>
    </dxf>
    <dxf>
      <border>
        <left style="thin">
          <color theme="0" tint="-0.499984740745262"/>
        </left>
        <right style="thin">
          <color theme="0" tint="-0.499984740745262"/>
        </right>
        <top style="thin">
          <color theme="0" tint="-0.499984740745262"/>
        </top>
        <bottom style="thin">
          <color theme="0" tint="-0.499984740745262"/>
        </bottom>
      </border>
    </dxf>
    <dxf>
      <border>
        <left style="thin">
          <color theme="0" tint="-0.499984740745262"/>
        </left>
        <right style="thin">
          <color theme="0" tint="-0.499984740745262"/>
        </right>
        <top style="thin">
          <color theme="0" tint="-0.499984740745262"/>
        </top>
        <bottom style="thin">
          <color theme="0" tint="-0.499984740745262"/>
        </bottom>
      </border>
    </dxf>
    <dxf>
      <border>
        <left style="thin">
          <color theme="0" tint="-0.499984740745262"/>
        </left>
        <right style="thin">
          <color theme="0" tint="-0.499984740745262"/>
        </right>
        <top style="thin">
          <color theme="0" tint="-0.499984740745262"/>
        </top>
        <bottom style="thin">
          <color theme="0" tint="-0.499984740745262"/>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10848A"/>
      <color rgb="FF16B8C0"/>
      <color rgb="FF18CDD6"/>
      <color rgb="FF0D6C71"/>
      <color rgb="FF07393C"/>
      <color rgb="FF34DFE8"/>
      <color rgb="FF339933"/>
      <color rgb="FF0000FF"/>
      <color rgb="FF337E8D"/>
      <color rgb="FFC97D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07/relationships/slicerCache" Target="slicerCaches/slicerCache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07/relationships/slicerCache" Target="slicerCaches/slicerCach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07/relationships/slicerCache" Target="slicerCaches/slicerCache4.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2.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07/relationships/slicerCache" Target="slicerCaches/slicerCache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pivotCacheDefinition" Target="pivotCache/pivotCacheDefinition1.xml"/><Relationship Id="rId30" Type="http://schemas.microsoft.com/office/2007/relationships/slicerCache" Target="slicerCaches/slicerCache2.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bg1">
                    <a:lumMod val="50000"/>
                  </a:schemeClr>
                </a:solidFill>
                <a:latin typeface="+mn-lt"/>
                <a:ea typeface="+mn-ea"/>
                <a:cs typeface="+mn-cs"/>
              </a:defRPr>
            </a:pPr>
            <a:r>
              <a:rPr lang="en-US" b="1">
                <a:solidFill>
                  <a:schemeClr val="bg1">
                    <a:lumMod val="50000"/>
                  </a:schemeClr>
                </a:solidFill>
              </a:rPr>
              <a:t>Revenue &amp;</a:t>
            </a:r>
            <a:r>
              <a:rPr lang="en-US" b="1" baseline="0">
                <a:solidFill>
                  <a:schemeClr val="bg1">
                    <a:lumMod val="50000"/>
                  </a:schemeClr>
                </a:solidFill>
              </a:rPr>
              <a:t> Cash Balance</a:t>
            </a:r>
            <a:endParaRPr lang="en-US" b="1">
              <a:solidFill>
                <a:schemeClr val="bg1">
                  <a:lumMod val="50000"/>
                </a:schemeClr>
              </a:solidFill>
            </a:endParaRPr>
          </a:p>
        </c:rich>
      </c:tx>
      <c:layout>
        <c:manualLayout>
          <c:xMode val="edge"/>
          <c:yMode val="edge"/>
          <c:x val="1.6637423577954499E-2"/>
          <c:y val="2.8191175050972805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bg1">
                  <a:lumMod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'Month-end Dashboard'!$T$13</c:f>
              <c:strCache>
                <c:ptCount val="1"/>
                <c:pt idx="0">
                  <c:v>Cash &amp; Cash Equivalents</c:v>
                </c:pt>
              </c:strCache>
            </c:strRef>
          </c:tx>
          <c:spPr>
            <a:solidFill>
              <a:srgbClr val="337E8D"/>
            </a:solidFill>
            <a:ln>
              <a:noFill/>
            </a:ln>
            <a:effectLst/>
          </c:spPr>
          <c:invertIfNegative val="0"/>
          <c:cat>
            <c:numRef>
              <c:f>'Month-end Dashboard'!$S$14:$S$25</c:f>
              <c:numCache>
                <c:formatCode>mmm\ yyyy</c:formatCode>
                <c:ptCount val="12"/>
                <c:pt idx="0">
                  <c:v>45777</c:v>
                </c:pt>
                <c:pt idx="1">
                  <c:v>45808</c:v>
                </c:pt>
                <c:pt idx="2">
                  <c:v>45838</c:v>
                </c:pt>
                <c:pt idx="3">
                  <c:v>45869</c:v>
                </c:pt>
                <c:pt idx="4">
                  <c:v>45900</c:v>
                </c:pt>
                <c:pt idx="5">
                  <c:v>45930</c:v>
                </c:pt>
                <c:pt idx="6">
                  <c:v>45961</c:v>
                </c:pt>
                <c:pt idx="7">
                  <c:v>45991</c:v>
                </c:pt>
                <c:pt idx="8">
                  <c:v>46022</c:v>
                </c:pt>
                <c:pt idx="9">
                  <c:v>46053</c:v>
                </c:pt>
                <c:pt idx="10">
                  <c:v>46081</c:v>
                </c:pt>
                <c:pt idx="11">
                  <c:v>46112</c:v>
                </c:pt>
              </c:numCache>
            </c:numRef>
          </c:cat>
          <c:val>
            <c:numRef>
              <c:f>'Month-end Dashboard'!$T$14:$T$25</c:f>
              <c:numCache>
                <c:formatCode>_(* #,##0_);_(* \(#,##0\);_(* "-"??_);_(@_)</c:formatCode>
                <c:ptCount val="12"/>
                <c:pt idx="0">
                  <c:v>569112.67000000004</c:v>
                </c:pt>
                <c:pt idx="1">
                  <c:v>594143.94999999995</c:v>
                </c:pt>
                <c:pt idx="2">
                  <c:v>590291.4</c:v>
                </c:pt>
                <c:pt idx="3">
                  <c:v>457562.5</c:v>
                </c:pt>
                <c:pt idx="4">
                  <c:v>392139.95</c:v>
                </c:pt>
                <c:pt idx="5">
                  <c:v>311921.28999999998</c:v>
                </c:pt>
                <c:pt idx="6">
                  <c:v>341997.83</c:v>
                </c:pt>
                <c:pt idx="7">
                  <c:v>272069.16000000003</c:v>
                </c:pt>
                <c:pt idx="8">
                  <c:v>289475.78999999998</c:v>
                </c:pt>
                <c:pt idx="9">
                  <c:v>229008.54</c:v>
                </c:pt>
                <c:pt idx="10">
                  <c:v>206196.36</c:v>
                </c:pt>
                <c:pt idx="11">
                  <c:v>152582.79999999999</c:v>
                </c:pt>
              </c:numCache>
            </c:numRef>
          </c:val>
          <c:extLst>
            <c:ext xmlns:c16="http://schemas.microsoft.com/office/drawing/2014/chart" uri="{C3380CC4-5D6E-409C-BE32-E72D297353CC}">
              <c16:uniqueId val="{00000000-5A1D-4E8F-9D04-49BCBEE285E7}"/>
            </c:ext>
          </c:extLst>
        </c:ser>
        <c:dLbls>
          <c:showLegendKey val="0"/>
          <c:showVal val="0"/>
          <c:showCatName val="0"/>
          <c:showSerName val="0"/>
          <c:showPercent val="0"/>
          <c:showBubbleSize val="0"/>
        </c:dLbls>
        <c:gapWidth val="219"/>
        <c:overlap val="-27"/>
        <c:axId val="1555803696"/>
        <c:axId val="1555801776"/>
      </c:barChart>
      <c:lineChart>
        <c:grouping val="standard"/>
        <c:varyColors val="0"/>
        <c:ser>
          <c:idx val="1"/>
          <c:order val="1"/>
          <c:tx>
            <c:strRef>
              <c:f>'Month-end Dashboard'!$U$13</c:f>
              <c:strCache>
                <c:ptCount val="1"/>
                <c:pt idx="0">
                  <c:v>Revenue</c:v>
                </c:pt>
              </c:strCache>
            </c:strRef>
          </c:tx>
          <c:spPr>
            <a:ln w="28575" cap="rnd">
              <a:solidFill>
                <a:schemeClr val="accent2"/>
              </a:solidFill>
              <a:round/>
            </a:ln>
            <a:effectLst/>
          </c:spPr>
          <c:marker>
            <c:symbol val="none"/>
          </c:marker>
          <c:cat>
            <c:numRef>
              <c:f>'Month-end Dashboard'!$S$14:$S$25</c:f>
              <c:numCache>
                <c:formatCode>mmm\ yyyy</c:formatCode>
                <c:ptCount val="12"/>
                <c:pt idx="0">
                  <c:v>45777</c:v>
                </c:pt>
                <c:pt idx="1">
                  <c:v>45808</c:v>
                </c:pt>
                <c:pt idx="2">
                  <c:v>45838</c:v>
                </c:pt>
                <c:pt idx="3">
                  <c:v>45869</c:v>
                </c:pt>
                <c:pt idx="4">
                  <c:v>45900</c:v>
                </c:pt>
                <c:pt idx="5">
                  <c:v>45930</c:v>
                </c:pt>
                <c:pt idx="6">
                  <c:v>45961</c:v>
                </c:pt>
                <c:pt idx="7">
                  <c:v>45991</c:v>
                </c:pt>
                <c:pt idx="8">
                  <c:v>46022</c:v>
                </c:pt>
                <c:pt idx="9">
                  <c:v>46053</c:v>
                </c:pt>
                <c:pt idx="10">
                  <c:v>46081</c:v>
                </c:pt>
                <c:pt idx="11">
                  <c:v>46112</c:v>
                </c:pt>
              </c:numCache>
            </c:numRef>
          </c:cat>
          <c:val>
            <c:numRef>
              <c:f>'Month-end Dashboard'!$U$14:$U$25</c:f>
              <c:numCache>
                <c:formatCode>_(* #,##0_);_(* \(#,##0\);_(* "-"??_);_(@_)</c:formatCode>
                <c:ptCount val="12"/>
                <c:pt idx="0">
                  <c:v>177061.40000000002</c:v>
                </c:pt>
                <c:pt idx="1">
                  <c:v>183743.63</c:v>
                </c:pt>
                <c:pt idx="2">
                  <c:v>186888.96000000002</c:v>
                </c:pt>
                <c:pt idx="3">
                  <c:v>94116.22</c:v>
                </c:pt>
                <c:pt idx="4">
                  <c:v>166580.80000000002</c:v>
                </c:pt>
                <c:pt idx="5">
                  <c:v>195588.2</c:v>
                </c:pt>
                <c:pt idx="6">
                  <c:v>166001.76999999999</c:v>
                </c:pt>
                <c:pt idx="7">
                  <c:v>244826.34</c:v>
                </c:pt>
                <c:pt idx="8">
                  <c:v>138169.94999999998</c:v>
                </c:pt>
                <c:pt idx="9">
                  <c:v>179268.83000000002</c:v>
                </c:pt>
                <c:pt idx="10">
                  <c:v>149131.45000000001</c:v>
                </c:pt>
                <c:pt idx="11">
                  <c:v>131483.14000000001</c:v>
                </c:pt>
              </c:numCache>
            </c:numRef>
          </c:val>
          <c:smooth val="0"/>
          <c:extLst>
            <c:ext xmlns:c16="http://schemas.microsoft.com/office/drawing/2014/chart" uri="{C3380CC4-5D6E-409C-BE32-E72D297353CC}">
              <c16:uniqueId val="{00000001-5A1D-4E8F-9D04-49BCBEE285E7}"/>
            </c:ext>
          </c:extLst>
        </c:ser>
        <c:dLbls>
          <c:showLegendKey val="0"/>
          <c:showVal val="0"/>
          <c:showCatName val="0"/>
          <c:showSerName val="0"/>
          <c:showPercent val="0"/>
          <c:showBubbleSize val="0"/>
        </c:dLbls>
        <c:marker val="1"/>
        <c:smooth val="0"/>
        <c:axId val="1555803696"/>
        <c:axId val="1555801776"/>
      </c:lineChart>
      <c:dateAx>
        <c:axId val="1555803696"/>
        <c:scaling>
          <c:orientation val="minMax"/>
        </c:scaling>
        <c:delete val="0"/>
        <c:axPos val="b"/>
        <c:numFmt formatCode="mmm\ 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555801776"/>
        <c:crosses val="autoZero"/>
        <c:auto val="1"/>
        <c:lblOffset val="100"/>
        <c:baseTimeUnit val="months"/>
      </c:dateAx>
      <c:valAx>
        <c:axId val="1555801776"/>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5803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7937235814871803"/>
          <c:y val="0.10801841974054319"/>
          <c:w val="0.43895323735420644"/>
          <c:h val="0.66472309240914773"/>
        </c:manualLayout>
      </c:layout>
      <c:doughnutChart>
        <c:varyColors val="1"/>
        <c:ser>
          <c:idx val="0"/>
          <c:order val="0"/>
          <c:dPt>
            <c:idx val="0"/>
            <c:bubble3D val="0"/>
            <c:spPr>
              <a:solidFill>
                <a:schemeClr val="accent3">
                  <a:lumMod val="75000"/>
                </a:schemeClr>
              </a:solidFill>
              <a:ln w="19050">
                <a:solidFill>
                  <a:schemeClr val="lt1"/>
                </a:solidFill>
              </a:ln>
              <a:effectLst/>
            </c:spPr>
            <c:extLst>
              <c:ext xmlns:c16="http://schemas.microsoft.com/office/drawing/2014/chart" uri="{C3380CC4-5D6E-409C-BE32-E72D297353CC}">
                <c16:uniqueId val="{00000001-1EBC-4BC6-B9A0-BF6C739500B0}"/>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2-1EBC-4BC6-B9A0-BF6C739500B0}"/>
              </c:ext>
            </c:extLst>
          </c:dPt>
          <c:dPt>
            <c:idx val="2"/>
            <c:bubble3D val="0"/>
            <c:spPr>
              <a:solidFill>
                <a:schemeClr val="accent3">
                  <a:lumMod val="60000"/>
                  <a:lumOff val="40000"/>
                </a:schemeClr>
              </a:solidFill>
              <a:ln w="19050">
                <a:solidFill>
                  <a:schemeClr val="lt1"/>
                </a:solidFill>
              </a:ln>
              <a:effectLst/>
            </c:spPr>
            <c:extLst>
              <c:ext xmlns:c16="http://schemas.microsoft.com/office/drawing/2014/chart" uri="{C3380CC4-5D6E-409C-BE32-E72D297353CC}">
                <c16:uniqueId val="{00000003-1EBC-4BC6-B9A0-BF6C739500B0}"/>
              </c:ext>
            </c:extLst>
          </c:dPt>
          <c:dPt>
            <c:idx val="3"/>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4-1EBC-4BC6-B9A0-BF6C739500B0}"/>
              </c:ext>
            </c:extLst>
          </c:dPt>
          <c:dPt>
            <c:idx val="4"/>
            <c:bubble3D val="0"/>
            <c:spPr>
              <a:solidFill>
                <a:schemeClr val="accent3">
                  <a:lumMod val="20000"/>
                  <a:lumOff val="80000"/>
                </a:schemeClr>
              </a:solidFill>
              <a:ln w="19050">
                <a:solidFill>
                  <a:schemeClr val="lt1"/>
                </a:solidFill>
              </a:ln>
              <a:effectLst/>
            </c:spPr>
            <c:extLst>
              <c:ext xmlns:c16="http://schemas.microsoft.com/office/drawing/2014/chart" uri="{C3380CC4-5D6E-409C-BE32-E72D297353CC}">
                <c16:uniqueId val="{00000005-1EBC-4BC6-B9A0-BF6C739500B0}"/>
              </c:ext>
            </c:extLst>
          </c:dPt>
          <c:cat>
            <c:strRef>
              <c:f>'Month-end Dashboard'!$Y$51:$Y$55</c:f>
              <c:strCache>
                <c:ptCount val="5"/>
                <c:pt idx="0">
                  <c:v>G&amp;A Payroll</c:v>
                </c:pt>
                <c:pt idx="1">
                  <c:v>Professional Fees</c:v>
                </c:pt>
                <c:pt idx="2">
                  <c:v>Business Development</c:v>
                </c:pt>
                <c:pt idx="3">
                  <c:v>Software</c:v>
                </c:pt>
                <c:pt idx="4">
                  <c:v>Insurance</c:v>
                </c:pt>
              </c:strCache>
            </c:strRef>
          </c:cat>
          <c:val>
            <c:numRef>
              <c:f>'Month-end Dashboard'!$Z$51:$Z$55</c:f>
              <c:numCache>
                <c:formatCode>_(* #,##0_);_(* \(#,##0\);_(* "-"??_);_(@_)</c:formatCode>
                <c:ptCount val="5"/>
                <c:pt idx="0">
                  <c:v>55506.25</c:v>
                </c:pt>
                <c:pt idx="1">
                  <c:v>13385.7</c:v>
                </c:pt>
                <c:pt idx="2">
                  <c:v>4403.2299999999996</c:v>
                </c:pt>
                <c:pt idx="3">
                  <c:v>2490.19</c:v>
                </c:pt>
                <c:pt idx="4">
                  <c:v>1469.3600000000001</c:v>
                </c:pt>
              </c:numCache>
            </c:numRef>
          </c:val>
          <c:extLst>
            <c:ext xmlns:c16="http://schemas.microsoft.com/office/drawing/2014/chart" uri="{C3380CC4-5D6E-409C-BE32-E72D297353CC}">
              <c16:uniqueId val="{00000000-1EBC-4BC6-B9A0-BF6C739500B0}"/>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layout>
        <c:manualLayout>
          <c:xMode val="edge"/>
          <c:yMode val="edge"/>
          <c:x val="4.1212941816094903E-2"/>
          <c:y val="0.75232468062539404"/>
          <c:w val="0.95878705818390508"/>
          <c:h val="0.213376388630513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bg1">
                    <a:lumMod val="50000"/>
                  </a:schemeClr>
                </a:solidFill>
                <a:latin typeface="+mn-lt"/>
                <a:ea typeface="+mn-ea"/>
                <a:cs typeface="+mn-cs"/>
              </a:defRPr>
            </a:pPr>
            <a:r>
              <a:rPr lang="en-US" b="1">
                <a:solidFill>
                  <a:schemeClr val="bg1">
                    <a:lumMod val="50000"/>
                  </a:schemeClr>
                </a:solidFill>
              </a:rPr>
              <a:t>Top AR</a:t>
            </a:r>
          </a:p>
        </c:rich>
      </c:tx>
      <c:layout>
        <c:manualLayout>
          <c:xMode val="edge"/>
          <c:yMode val="edge"/>
          <c:x val="4.834287018470519E-3"/>
          <c:y val="2.986857825567503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bg1">
                  <a:lumMod val="50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bg1">
                  <a:lumMod val="95000"/>
                </a:schemeClr>
              </a:solidFill>
              <a:ln>
                <a:noFill/>
              </a:ln>
              <a:effectLst/>
            </c:spPr>
            <c:extLst>
              <c:ext xmlns:c16="http://schemas.microsoft.com/office/drawing/2014/chart" uri="{C3380CC4-5D6E-409C-BE32-E72D297353CC}">
                <c16:uniqueId val="{00000008-3BA5-45C3-B3EC-4F4BD71A3778}"/>
              </c:ext>
            </c:extLst>
          </c:dPt>
          <c:dPt>
            <c:idx val="1"/>
            <c:invertIfNegative val="0"/>
            <c:bubble3D val="0"/>
            <c:spPr>
              <a:solidFill>
                <a:schemeClr val="bg2">
                  <a:lumMod val="90000"/>
                </a:schemeClr>
              </a:solidFill>
              <a:ln>
                <a:noFill/>
              </a:ln>
              <a:effectLst/>
            </c:spPr>
            <c:extLst>
              <c:ext xmlns:c16="http://schemas.microsoft.com/office/drawing/2014/chart" uri="{C3380CC4-5D6E-409C-BE32-E72D297353CC}">
                <c16:uniqueId val="{00000007-3BA5-45C3-B3EC-4F4BD71A3778}"/>
              </c:ext>
            </c:extLst>
          </c:dPt>
          <c:dPt>
            <c:idx val="2"/>
            <c:invertIfNegative val="0"/>
            <c:bubble3D val="0"/>
            <c:spPr>
              <a:solidFill>
                <a:schemeClr val="bg2">
                  <a:lumMod val="75000"/>
                </a:schemeClr>
              </a:solidFill>
              <a:ln>
                <a:noFill/>
              </a:ln>
              <a:effectLst/>
            </c:spPr>
            <c:extLst>
              <c:ext xmlns:c16="http://schemas.microsoft.com/office/drawing/2014/chart" uri="{C3380CC4-5D6E-409C-BE32-E72D297353CC}">
                <c16:uniqueId val="{00000006-3BA5-45C3-B3EC-4F4BD71A3778}"/>
              </c:ext>
            </c:extLst>
          </c:dPt>
          <c:dPt>
            <c:idx val="3"/>
            <c:invertIfNegative val="0"/>
            <c:bubble3D val="0"/>
            <c:spPr>
              <a:solidFill>
                <a:schemeClr val="bg2">
                  <a:lumMod val="50000"/>
                </a:schemeClr>
              </a:solidFill>
              <a:ln>
                <a:noFill/>
              </a:ln>
              <a:effectLst/>
            </c:spPr>
            <c:extLst>
              <c:ext xmlns:c16="http://schemas.microsoft.com/office/drawing/2014/chart" uri="{C3380CC4-5D6E-409C-BE32-E72D297353CC}">
                <c16:uniqueId val="{00000005-3BA5-45C3-B3EC-4F4BD71A3778}"/>
              </c:ext>
            </c:extLst>
          </c:dPt>
          <c:dPt>
            <c:idx val="4"/>
            <c:invertIfNegative val="0"/>
            <c:bubble3D val="0"/>
            <c:spPr>
              <a:solidFill>
                <a:schemeClr val="bg2">
                  <a:lumMod val="25000"/>
                </a:schemeClr>
              </a:solidFill>
              <a:ln>
                <a:noFill/>
              </a:ln>
              <a:effectLst/>
            </c:spPr>
            <c:extLst>
              <c:ext xmlns:c16="http://schemas.microsoft.com/office/drawing/2014/chart" uri="{C3380CC4-5D6E-409C-BE32-E72D297353CC}">
                <c16:uniqueId val="{00000004-3BA5-45C3-B3EC-4F4BD71A3778}"/>
              </c:ext>
            </c:extLst>
          </c:dPt>
          <c:cat>
            <c:strRef>
              <c:f>'Month-end Dashboard'!$S$39:$S$43</c:f>
              <c:strCache>
                <c:ptCount val="5"/>
                <c:pt idx="0">
                  <c:v>Customer 1</c:v>
                </c:pt>
                <c:pt idx="1">
                  <c:v>Customer 9</c:v>
                </c:pt>
                <c:pt idx="2">
                  <c:v>Customer 4</c:v>
                </c:pt>
                <c:pt idx="3">
                  <c:v>Customer 2</c:v>
                </c:pt>
                <c:pt idx="4">
                  <c:v>Customer 5</c:v>
                </c:pt>
              </c:strCache>
            </c:strRef>
          </c:cat>
          <c:val>
            <c:numRef>
              <c:f>'Month-end Dashboard'!$T$39:$T$43</c:f>
              <c:numCache>
                <c:formatCode>_(* #,##0_);_(* \(#,##0\);_(* "-"??_);_(@_)</c:formatCode>
                <c:ptCount val="5"/>
                <c:pt idx="0">
                  <c:v>400</c:v>
                </c:pt>
                <c:pt idx="1">
                  <c:v>1890</c:v>
                </c:pt>
                <c:pt idx="2">
                  <c:v>2408.75</c:v>
                </c:pt>
                <c:pt idx="3">
                  <c:v>2572.5</c:v>
                </c:pt>
                <c:pt idx="4">
                  <c:v>3197.95</c:v>
                </c:pt>
              </c:numCache>
            </c:numRef>
          </c:val>
          <c:extLst>
            <c:ext xmlns:c16="http://schemas.microsoft.com/office/drawing/2014/chart" uri="{C3380CC4-5D6E-409C-BE32-E72D297353CC}">
              <c16:uniqueId val="{00000000-3BA5-45C3-B3EC-4F4BD71A3778}"/>
            </c:ext>
          </c:extLst>
        </c:ser>
        <c:dLbls>
          <c:showLegendKey val="0"/>
          <c:showVal val="0"/>
          <c:showCatName val="0"/>
          <c:showSerName val="0"/>
          <c:showPercent val="0"/>
          <c:showBubbleSize val="0"/>
        </c:dLbls>
        <c:gapWidth val="80"/>
        <c:axId val="1205356016"/>
        <c:axId val="1205340176"/>
      </c:barChart>
      <c:catAx>
        <c:axId val="12053560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5340176"/>
        <c:crosses val="autoZero"/>
        <c:auto val="1"/>
        <c:lblAlgn val="ctr"/>
        <c:lblOffset val="100"/>
        <c:noMultiLvlLbl val="0"/>
      </c:catAx>
      <c:valAx>
        <c:axId val="1205340176"/>
        <c:scaling>
          <c:orientation val="minMax"/>
        </c:scaling>
        <c:delete val="0"/>
        <c:axPos val="b"/>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53560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bg1">
                    <a:lumMod val="50000"/>
                  </a:schemeClr>
                </a:solidFill>
                <a:latin typeface="+mn-lt"/>
                <a:ea typeface="+mn-ea"/>
                <a:cs typeface="+mn-cs"/>
              </a:defRPr>
            </a:pPr>
            <a:r>
              <a:rPr lang="en-US" b="1">
                <a:solidFill>
                  <a:schemeClr val="bg1">
                    <a:lumMod val="50000"/>
                  </a:schemeClr>
                </a:solidFill>
              </a:rPr>
              <a:t>Top Billers</a:t>
            </a:r>
          </a:p>
        </c:rich>
      </c:tx>
      <c:layout>
        <c:manualLayout>
          <c:xMode val="edge"/>
          <c:yMode val="edge"/>
          <c:x val="4.834287018470519E-3"/>
          <c:y val="2.986857825567503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bg1">
                  <a:lumMod val="50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rgbClr val="07393C"/>
              </a:solidFill>
              <a:ln>
                <a:noFill/>
              </a:ln>
              <a:effectLst/>
            </c:spPr>
            <c:extLst>
              <c:ext xmlns:c16="http://schemas.microsoft.com/office/drawing/2014/chart" uri="{C3380CC4-5D6E-409C-BE32-E72D297353CC}">
                <c16:uniqueId val="{00000001-D787-4688-AE48-5A74BE198B0B}"/>
              </c:ext>
            </c:extLst>
          </c:dPt>
          <c:dPt>
            <c:idx val="1"/>
            <c:invertIfNegative val="0"/>
            <c:bubble3D val="0"/>
            <c:spPr>
              <a:solidFill>
                <a:srgbClr val="0D6C71"/>
              </a:solidFill>
              <a:ln>
                <a:noFill/>
              </a:ln>
              <a:effectLst/>
            </c:spPr>
            <c:extLst>
              <c:ext xmlns:c16="http://schemas.microsoft.com/office/drawing/2014/chart" uri="{C3380CC4-5D6E-409C-BE32-E72D297353CC}">
                <c16:uniqueId val="{00000003-D787-4688-AE48-5A74BE198B0B}"/>
              </c:ext>
            </c:extLst>
          </c:dPt>
          <c:dPt>
            <c:idx val="2"/>
            <c:invertIfNegative val="0"/>
            <c:bubble3D val="0"/>
            <c:spPr>
              <a:solidFill>
                <a:srgbClr val="10848A"/>
              </a:solidFill>
              <a:ln>
                <a:noFill/>
              </a:ln>
              <a:effectLst/>
            </c:spPr>
            <c:extLst>
              <c:ext xmlns:c16="http://schemas.microsoft.com/office/drawing/2014/chart" uri="{C3380CC4-5D6E-409C-BE32-E72D297353CC}">
                <c16:uniqueId val="{00000005-D787-4688-AE48-5A74BE198B0B}"/>
              </c:ext>
            </c:extLst>
          </c:dPt>
          <c:dPt>
            <c:idx val="3"/>
            <c:invertIfNegative val="0"/>
            <c:bubble3D val="0"/>
            <c:spPr>
              <a:solidFill>
                <a:srgbClr val="16B8C0"/>
              </a:solidFill>
              <a:ln>
                <a:noFill/>
              </a:ln>
              <a:effectLst/>
            </c:spPr>
            <c:extLst>
              <c:ext xmlns:c16="http://schemas.microsoft.com/office/drawing/2014/chart" uri="{C3380CC4-5D6E-409C-BE32-E72D297353CC}">
                <c16:uniqueId val="{00000007-D787-4688-AE48-5A74BE198B0B}"/>
              </c:ext>
            </c:extLst>
          </c:dPt>
          <c:dPt>
            <c:idx val="4"/>
            <c:invertIfNegative val="0"/>
            <c:bubble3D val="0"/>
            <c:spPr>
              <a:solidFill>
                <a:srgbClr val="18CDD6"/>
              </a:solidFill>
              <a:ln>
                <a:noFill/>
              </a:ln>
              <a:effectLst/>
            </c:spPr>
            <c:extLst>
              <c:ext xmlns:c16="http://schemas.microsoft.com/office/drawing/2014/chart" uri="{C3380CC4-5D6E-409C-BE32-E72D297353CC}">
                <c16:uniqueId val="{00000009-D787-4688-AE48-5A74BE198B0B}"/>
              </c:ext>
            </c:extLst>
          </c:dPt>
          <c:cat>
            <c:strRef>
              <c:f>'Month-end Dashboard'!$S$69:$S$73</c:f>
              <c:strCache>
                <c:ptCount val="5"/>
                <c:pt idx="0">
                  <c:v>Vendor 2</c:v>
                </c:pt>
                <c:pt idx="1">
                  <c:v>Vendor 1</c:v>
                </c:pt>
                <c:pt idx="2">
                  <c:v>Vendor 6</c:v>
                </c:pt>
                <c:pt idx="3">
                  <c:v>Vendor 3</c:v>
                </c:pt>
                <c:pt idx="4">
                  <c:v>Vendor 7</c:v>
                </c:pt>
              </c:strCache>
            </c:strRef>
          </c:cat>
          <c:val>
            <c:numRef>
              <c:f>'Month-end Dashboard'!$T$69:$T$73</c:f>
              <c:numCache>
                <c:formatCode>_(* #,##0_);_(* \(#,##0\);_(* "-"??_);_(@_)</c:formatCode>
                <c:ptCount val="5"/>
                <c:pt idx="0">
                  <c:v>1725.58</c:v>
                </c:pt>
                <c:pt idx="1">
                  <c:v>1600</c:v>
                </c:pt>
                <c:pt idx="2">
                  <c:v>1500</c:v>
                </c:pt>
                <c:pt idx="3">
                  <c:v>987.48</c:v>
                </c:pt>
                <c:pt idx="4">
                  <c:v>251.62</c:v>
                </c:pt>
              </c:numCache>
            </c:numRef>
          </c:val>
          <c:extLst>
            <c:ext xmlns:c16="http://schemas.microsoft.com/office/drawing/2014/chart" uri="{C3380CC4-5D6E-409C-BE32-E72D297353CC}">
              <c16:uniqueId val="{0000000A-D787-4688-AE48-5A74BE198B0B}"/>
            </c:ext>
          </c:extLst>
        </c:ser>
        <c:dLbls>
          <c:showLegendKey val="0"/>
          <c:showVal val="0"/>
          <c:showCatName val="0"/>
          <c:showSerName val="0"/>
          <c:showPercent val="0"/>
          <c:showBubbleSize val="0"/>
        </c:dLbls>
        <c:gapWidth val="80"/>
        <c:axId val="1205356016"/>
        <c:axId val="1205340176"/>
      </c:barChart>
      <c:catAx>
        <c:axId val="120535601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5340176"/>
        <c:crosses val="autoZero"/>
        <c:auto val="1"/>
        <c:lblAlgn val="ctr"/>
        <c:lblOffset val="100"/>
        <c:noMultiLvlLbl val="0"/>
      </c:catAx>
      <c:valAx>
        <c:axId val="1205340176"/>
        <c:scaling>
          <c:orientation val="minMax"/>
        </c:scaling>
        <c:delete val="0"/>
        <c:axPos val="t"/>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53560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bg1">
                    <a:lumMod val="50000"/>
                  </a:schemeClr>
                </a:solidFill>
                <a:latin typeface="+mn-lt"/>
                <a:ea typeface="+mn-ea"/>
                <a:cs typeface="+mn-cs"/>
              </a:defRPr>
            </a:pPr>
            <a:r>
              <a:rPr lang="en-US" b="1">
                <a:solidFill>
                  <a:schemeClr val="bg1">
                    <a:lumMod val="50000"/>
                  </a:schemeClr>
                </a:solidFill>
              </a:rPr>
              <a:t>Top Billers</a:t>
            </a:r>
          </a:p>
        </c:rich>
      </c:tx>
      <c:layout>
        <c:manualLayout>
          <c:xMode val="edge"/>
          <c:yMode val="edge"/>
          <c:x val="4.834287018470519E-3"/>
          <c:y val="2.986857825567503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bg1">
                  <a:lumMod val="50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accent2">
                  <a:lumMod val="75000"/>
                </a:schemeClr>
              </a:solidFill>
              <a:ln>
                <a:noFill/>
              </a:ln>
              <a:effectLst/>
            </c:spPr>
            <c:extLst>
              <c:ext xmlns:c16="http://schemas.microsoft.com/office/drawing/2014/chart" uri="{C3380CC4-5D6E-409C-BE32-E72D297353CC}">
                <c16:uniqueId val="{00000001-9810-4F23-A2C2-1BCBED259AB4}"/>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9810-4F23-A2C2-1BCBED259AB4}"/>
              </c:ext>
            </c:extLst>
          </c:dPt>
          <c:dPt>
            <c:idx val="2"/>
            <c:invertIfNegative val="0"/>
            <c:bubble3D val="0"/>
            <c:spPr>
              <a:solidFill>
                <a:schemeClr val="accent2">
                  <a:lumMod val="60000"/>
                  <a:lumOff val="40000"/>
                </a:schemeClr>
              </a:solidFill>
              <a:ln>
                <a:noFill/>
              </a:ln>
              <a:effectLst/>
            </c:spPr>
            <c:extLst>
              <c:ext xmlns:c16="http://schemas.microsoft.com/office/drawing/2014/chart" uri="{C3380CC4-5D6E-409C-BE32-E72D297353CC}">
                <c16:uniqueId val="{00000005-9810-4F23-A2C2-1BCBED259AB4}"/>
              </c:ext>
            </c:extLst>
          </c:dPt>
          <c:dPt>
            <c:idx val="3"/>
            <c:invertIfNegative val="0"/>
            <c:bubble3D val="0"/>
            <c:spPr>
              <a:solidFill>
                <a:schemeClr val="accent2">
                  <a:lumMod val="40000"/>
                  <a:lumOff val="60000"/>
                </a:schemeClr>
              </a:solidFill>
              <a:ln>
                <a:noFill/>
              </a:ln>
              <a:effectLst/>
            </c:spPr>
            <c:extLst>
              <c:ext xmlns:c16="http://schemas.microsoft.com/office/drawing/2014/chart" uri="{C3380CC4-5D6E-409C-BE32-E72D297353CC}">
                <c16:uniqueId val="{00000007-9810-4F23-A2C2-1BCBED259AB4}"/>
              </c:ext>
            </c:extLst>
          </c:dPt>
          <c:dPt>
            <c:idx val="4"/>
            <c:invertIfNegative val="0"/>
            <c:bubble3D val="0"/>
            <c:spPr>
              <a:solidFill>
                <a:schemeClr val="accent2">
                  <a:lumMod val="20000"/>
                  <a:lumOff val="80000"/>
                </a:schemeClr>
              </a:solidFill>
              <a:ln>
                <a:noFill/>
              </a:ln>
              <a:effectLst/>
            </c:spPr>
            <c:extLst>
              <c:ext xmlns:c16="http://schemas.microsoft.com/office/drawing/2014/chart" uri="{C3380CC4-5D6E-409C-BE32-E72D297353CC}">
                <c16:uniqueId val="{00000009-9810-4F23-A2C2-1BCBED259AB4}"/>
              </c:ext>
            </c:extLst>
          </c:dPt>
          <c:cat>
            <c:strRef>
              <c:f>'Month-end Dashboard'!$S$77:$S$81</c:f>
              <c:strCache>
                <c:ptCount val="5"/>
                <c:pt idx="0">
                  <c:v>G&amp;A Payroll Detail</c:v>
                </c:pt>
                <c:pt idx="1">
                  <c:v>Customer 1</c:v>
                </c:pt>
                <c:pt idx="2">
                  <c:v>Class A Direct Labor Cost Detail</c:v>
                </c:pt>
                <c:pt idx="3">
                  <c:v>Customer 12 detail</c:v>
                </c:pt>
                <c:pt idx="4">
                  <c:v>Customer 13 detail</c:v>
                </c:pt>
              </c:strCache>
            </c:strRef>
          </c:cat>
          <c:val>
            <c:numRef>
              <c:f>'Month-end Dashboard'!$T$77:$T$81</c:f>
              <c:numCache>
                <c:formatCode>_(* #,##0_);_(* \(#,##0\);_(* "-"??_);_(@_)</c:formatCode>
                <c:ptCount val="5"/>
                <c:pt idx="0">
                  <c:v>55506.249999999993</c:v>
                </c:pt>
                <c:pt idx="1">
                  <c:v>47754.81</c:v>
                </c:pt>
                <c:pt idx="2">
                  <c:v>30311.800000000003</c:v>
                </c:pt>
                <c:pt idx="3">
                  <c:v>19684.64</c:v>
                </c:pt>
                <c:pt idx="4">
                  <c:v>19233.75</c:v>
                </c:pt>
              </c:numCache>
            </c:numRef>
          </c:val>
          <c:extLst>
            <c:ext xmlns:c16="http://schemas.microsoft.com/office/drawing/2014/chart" uri="{C3380CC4-5D6E-409C-BE32-E72D297353CC}">
              <c16:uniqueId val="{0000000A-9810-4F23-A2C2-1BCBED259AB4}"/>
            </c:ext>
          </c:extLst>
        </c:ser>
        <c:dLbls>
          <c:showLegendKey val="0"/>
          <c:showVal val="0"/>
          <c:showCatName val="0"/>
          <c:showSerName val="0"/>
          <c:showPercent val="0"/>
          <c:showBubbleSize val="0"/>
        </c:dLbls>
        <c:gapWidth val="80"/>
        <c:axId val="1205356016"/>
        <c:axId val="1205340176"/>
      </c:barChart>
      <c:catAx>
        <c:axId val="120535601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5340176"/>
        <c:crosses val="autoZero"/>
        <c:auto val="1"/>
        <c:lblAlgn val="ctr"/>
        <c:lblOffset val="100"/>
        <c:noMultiLvlLbl val="0"/>
      </c:catAx>
      <c:valAx>
        <c:axId val="1205340176"/>
        <c:scaling>
          <c:orientation val="minMax"/>
          <c:max val="50000"/>
          <c:min val="0"/>
        </c:scaling>
        <c:delete val="0"/>
        <c:axPos val="t"/>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5356016"/>
        <c:crosses val="autoZero"/>
        <c:crossBetween val="between"/>
        <c:majorUnit val="1500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bg1">
                    <a:lumMod val="50000"/>
                  </a:schemeClr>
                </a:solidFill>
                <a:latin typeface="+mn-lt"/>
                <a:ea typeface="+mn-ea"/>
                <a:cs typeface="+mn-cs"/>
              </a:defRPr>
            </a:pPr>
            <a:r>
              <a:rPr lang="en-US" b="1">
                <a:solidFill>
                  <a:schemeClr val="bg1">
                    <a:lumMod val="50000"/>
                  </a:schemeClr>
                </a:solidFill>
              </a:rPr>
              <a:t>Revenue &amp;</a:t>
            </a:r>
            <a:r>
              <a:rPr lang="en-US" b="1" baseline="0">
                <a:solidFill>
                  <a:schemeClr val="bg1">
                    <a:lumMod val="50000"/>
                  </a:schemeClr>
                </a:solidFill>
              </a:rPr>
              <a:t> Operating Expenses</a:t>
            </a:r>
            <a:endParaRPr lang="en-US" b="1">
              <a:solidFill>
                <a:schemeClr val="bg1">
                  <a:lumMod val="50000"/>
                </a:schemeClr>
              </a:solidFill>
            </a:endParaRPr>
          </a:p>
        </c:rich>
      </c:tx>
      <c:layout>
        <c:manualLayout>
          <c:xMode val="edge"/>
          <c:yMode val="edge"/>
          <c:x val="1.6637423577954499E-2"/>
          <c:y val="2.8191175050972805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bg1">
                  <a:lumMod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'Dashboard by Class'!$R$6</c:f>
              <c:strCache>
                <c:ptCount val="1"/>
                <c:pt idx="0">
                  <c:v>Operating Expenses</c:v>
                </c:pt>
              </c:strCache>
            </c:strRef>
          </c:tx>
          <c:spPr>
            <a:solidFill>
              <a:srgbClr val="337E8D"/>
            </a:solidFill>
            <a:ln>
              <a:noFill/>
            </a:ln>
            <a:effectLst/>
          </c:spPr>
          <c:invertIfNegative val="0"/>
          <c:cat>
            <c:numRef>
              <c:f>'Dashboard by Class'!$Q$7:$Q$18</c:f>
              <c:numCache>
                <c:formatCode>mmm\ yyyy</c:formatCode>
                <c:ptCount val="12"/>
                <c:pt idx="0">
                  <c:v>45777</c:v>
                </c:pt>
                <c:pt idx="1">
                  <c:v>45808</c:v>
                </c:pt>
                <c:pt idx="2">
                  <c:v>45838</c:v>
                </c:pt>
                <c:pt idx="3">
                  <c:v>45869</c:v>
                </c:pt>
                <c:pt idx="4">
                  <c:v>45900</c:v>
                </c:pt>
                <c:pt idx="5">
                  <c:v>45930</c:v>
                </c:pt>
                <c:pt idx="6">
                  <c:v>45961</c:v>
                </c:pt>
                <c:pt idx="7">
                  <c:v>45991</c:v>
                </c:pt>
                <c:pt idx="8">
                  <c:v>46022</c:v>
                </c:pt>
                <c:pt idx="9">
                  <c:v>46053</c:v>
                </c:pt>
                <c:pt idx="10">
                  <c:v>46081</c:v>
                </c:pt>
                <c:pt idx="11">
                  <c:v>46112</c:v>
                </c:pt>
              </c:numCache>
            </c:numRef>
          </c:cat>
          <c:val>
            <c:numRef>
              <c:f>'Dashboard by Class'!$R$7:$R$18</c:f>
              <c:numCache>
                <c:formatCode>_(* #,##0_);_(* \(#,##0\);_(* "-"??_);_(@_)</c:formatCode>
                <c:ptCount val="12"/>
                <c:pt idx="0">
                  <c:v>51331.30999999999</c:v>
                </c:pt>
                <c:pt idx="1">
                  <c:v>70543.989999999991</c:v>
                </c:pt>
                <c:pt idx="2">
                  <c:v>66320.75999999998</c:v>
                </c:pt>
                <c:pt idx="3">
                  <c:v>70523.759999999995</c:v>
                </c:pt>
                <c:pt idx="4">
                  <c:v>76565.309999999983</c:v>
                </c:pt>
                <c:pt idx="5">
                  <c:v>54961.450000000004</c:v>
                </c:pt>
                <c:pt idx="6">
                  <c:v>66014.559999999998</c:v>
                </c:pt>
                <c:pt idx="7">
                  <c:v>85499.11000000003</c:v>
                </c:pt>
                <c:pt idx="8">
                  <c:v>90566.64</c:v>
                </c:pt>
                <c:pt idx="9">
                  <c:v>92649.939999999988</c:v>
                </c:pt>
                <c:pt idx="10">
                  <c:v>78456.070000000007</c:v>
                </c:pt>
                <c:pt idx="11">
                  <c:v>79237.239999999991</c:v>
                </c:pt>
              </c:numCache>
            </c:numRef>
          </c:val>
          <c:extLst>
            <c:ext xmlns:c16="http://schemas.microsoft.com/office/drawing/2014/chart" uri="{C3380CC4-5D6E-409C-BE32-E72D297353CC}">
              <c16:uniqueId val="{00000000-2FCB-4E52-A071-A6C2DE44B081}"/>
            </c:ext>
          </c:extLst>
        </c:ser>
        <c:ser>
          <c:idx val="2"/>
          <c:order val="2"/>
          <c:tx>
            <c:v>COS</c:v>
          </c:tx>
          <c:spPr>
            <a:solidFill>
              <a:schemeClr val="accent2">
                <a:lumMod val="20000"/>
                <a:lumOff val="80000"/>
              </a:schemeClr>
            </a:solidFill>
            <a:ln>
              <a:noFill/>
            </a:ln>
            <a:effectLst/>
          </c:spPr>
          <c:invertIfNegative val="0"/>
          <c:val>
            <c:numRef>
              <c:f>'Dashboard by Class'!$S$7:$S$18</c:f>
              <c:numCache>
                <c:formatCode>_(* #,##0_);_(* \(#,##0\);_(* "-"??_);_(@_)</c:formatCode>
                <c:ptCount val="12"/>
                <c:pt idx="0">
                  <c:v>120981.31000000001</c:v>
                </c:pt>
                <c:pt idx="1">
                  <c:v>87744.53</c:v>
                </c:pt>
                <c:pt idx="2">
                  <c:v>83448.91</c:v>
                </c:pt>
                <c:pt idx="3">
                  <c:v>142455.24</c:v>
                </c:pt>
                <c:pt idx="4">
                  <c:v>78718.429999999978</c:v>
                </c:pt>
                <c:pt idx="5">
                  <c:v>71490.64</c:v>
                </c:pt>
                <c:pt idx="6">
                  <c:v>101988.60999999999</c:v>
                </c:pt>
                <c:pt idx="7">
                  <c:v>70728.14</c:v>
                </c:pt>
                <c:pt idx="8">
                  <c:v>72289.180000000008</c:v>
                </c:pt>
                <c:pt idx="9">
                  <c:v>64585.39</c:v>
                </c:pt>
                <c:pt idx="10">
                  <c:v>53446.609999999993</c:v>
                </c:pt>
                <c:pt idx="11">
                  <c:v>56734.670000000006</c:v>
                </c:pt>
              </c:numCache>
            </c:numRef>
          </c:val>
          <c:extLst>
            <c:ext xmlns:c16="http://schemas.microsoft.com/office/drawing/2014/chart" uri="{C3380CC4-5D6E-409C-BE32-E72D297353CC}">
              <c16:uniqueId val="{00000002-2FCB-4E52-A071-A6C2DE44B081}"/>
            </c:ext>
          </c:extLst>
        </c:ser>
        <c:dLbls>
          <c:showLegendKey val="0"/>
          <c:showVal val="0"/>
          <c:showCatName val="0"/>
          <c:showSerName val="0"/>
          <c:showPercent val="0"/>
          <c:showBubbleSize val="0"/>
        </c:dLbls>
        <c:gapWidth val="187"/>
        <c:overlap val="-29"/>
        <c:axId val="1555803696"/>
        <c:axId val="1555801776"/>
      </c:barChart>
      <c:lineChart>
        <c:grouping val="standard"/>
        <c:varyColors val="0"/>
        <c:ser>
          <c:idx val="1"/>
          <c:order val="1"/>
          <c:tx>
            <c:strRef>
              <c:f>'Dashboard by Class'!$T$6</c:f>
              <c:strCache>
                <c:ptCount val="1"/>
                <c:pt idx="0">
                  <c:v>Revenue</c:v>
                </c:pt>
              </c:strCache>
            </c:strRef>
          </c:tx>
          <c:spPr>
            <a:ln w="28575" cap="rnd">
              <a:solidFill>
                <a:schemeClr val="accent2"/>
              </a:solidFill>
              <a:round/>
            </a:ln>
            <a:effectLst/>
          </c:spPr>
          <c:marker>
            <c:symbol val="none"/>
          </c:marker>
          <c:cat>
            <c:numRef>
              <c:f>'Dashboard by Class'!$Q$7:$Q$18</c:f>
              <c:numCache>
                <c:formatCode>mmm\ yyyy</c:formatCode>
                <c:ptCount val="12"/>
                <c:pt idx="0">
                  <c:v>45777</c:v>
                </c:pt>
                <c:pt idx="1">
                  <c:v>45808</c:v>
                </c:pt>
                <c:pt idx="2">
                  <c:v>45838</c:v>
                </c:pt>
                <c:pt idx="3">
                  <c:v>45869</c:v>
                </c:pt>
                <c:pt idx="4">
                  <c:v>45900</c:v>
                </c:pt>
                <c:pt idx="5">
                  <c:v>45930</c:v>
                </c:pt>
                <c:pt idx="6">
                  <c:v>45961</c:v>
                </c:pt>
                <c:pt idx="7">
                  <c:v>45991</c:v>
                </c:pt>
                <c:pt idx="8">
                  <c:v>46022</c:v>
                </c:pt>
                <c:pt idx="9">
                  <c:v>46053</c:v>
                </c:pt>
                <c:pt idx="10">
                  <c:v>46081</c:v>
                </c:pt>
                <c:pt idx="11">
                  <c:v>46112</c:v>
                </c:pt>
              </c:numCache>
            </c:numRef>
          </c:cat>
          <c:val>
            <c:numRef>
              <c:f>'Dashboard by Class'!$T$7:$T$18</c:f>
              <c:numCache>
                <c:formatCode>_(* #,##0_);_(* \(#,##0\);_(* "-"??_);_(@_)</c:formatCode>
                <c:ptCount val="12"/>
                <c:pt idx="0">
                  <c:v>177061.40000000002</c:v>
                </c:pt>
                <c:pt idx="1">
                  <c:v>183743.63</c:v>
                </c:pt>
                <c:pt idx="2">
                  <c:v>186888.96000000002</c:v>
                </c:pt>
                <c:pt idx="3">
                  <c:v>94116.22</c:v>
                </c:pt>
                <c:pt idx="4">
                  <c:v>166580.80000000002</c:v>
                </c:pt>
                <c:pt idx="5">
                  <c:v>195588.2</c:v>
                </c:pt>
                <c:pt idx="6">
                  <c:v>166001.76999999999</c:v>
                </c:pt>
                <c:pt idx="7">
                  <c:v>244826.34</c:v>
                </c:pt>
                <c:pt idx="8">
                  <c:v>138169.94999999998</c:v>
                </c:pt>
                <c:pt idx="9">
                  <c:v>179268.83000000002</c:v>
                </c:pt>
                <c:pt idx="10">
                  <c:v>149131.45000000001</c:v>
                </c:pt>
                <c:pt idx="11">
                  <c:v>131483.14000000001</c:v>
                </c:pt>
              </c:numCache>
            </c:numRef>
          </c:val>
          <c:smooth val="0"/>
          <c:extLst>
            <c:ext xmlns:c16="http://schemas.microsoft.com/office/drawing/2014/chart" uri="{C3380CC4-5D6E-409C-BE32-E72D297353CC}">
              <c16:uniqueId val="{00000001-2FCB-4E52-A071-A6C2DE44B081}"/>
            </c:ext>
          </c:extLst>
        </c:ser>
        <c:dLbls>
          <c:showLegendKey val="0"/>
          <c:showVal val="0"/>
          <c:showCatName val="0"/>
          <c:showSerName val="0"/>
          <c:showPercent val="0"/>
          <c:showBubbleSize val="0"/>
        </c:dLbls>
        <c:marker val="1"/>
        <c:smooth val="0"/>
        <c:axId val="1555803696"/>
        <c:axId val="1555801776"/>
      </c:lineChart>
      <c:dateAx>
        <c:axId val="1555803696"/>
        <c:scaling>
          <c:orientation val="minMax"/>
        </c:scaling>
        <c:delete val="0"/>
        <c:axPos val="b"/>
        <c:numFmt formatCode="mmm\ 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555801776"/>
        <c:crosses val="autoZero"/>
        <c:auto val="1"/>
        <c:lblOffset val="100"/>
        <c:baseTimeUnit val="months"/>
      </c:dateAx>
      <c:valAx>
        <c:axId val="1555801776"/>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5803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chartData>
  <cx:chart>
    <cx:title pos="t" align="ctr" overlay="0">
      <cx:tx>
        <cx:txData>
          <cx:v>Cash Bridge</cx:v>
        </cx:txData>
      </cx:tx>
      <cx:txPr>
        <a:bodyPr spcFirstLastPara="1" vertOverflow="ellipsis" horzOverflow="overflow" wrap="square" lIns="0" tIns="0" rIns="0" bIns="0" anchor="ctr" anchorCtr="1"/>
        <a:lstStyle/>
        <a:p>
          <a:pPr algn="ctr" rtl="0">
            <a:defRPr b="1">
              <a:solidFill>
                <a:schemeClr val="bg1">
                  <a:lumMod val="50000"/>
                </a:schemeClr>
              </a:solidFill>
            </a:defRPr>
          </a:pPr>
          <a:r>
            <a:rPr lang="en-US" sz="1400" b="1" i="0" u="none" strike="noStrike" baseline="0">
              <a:solidFill>
                <a:schemeClr val="bg1">
                  <a:lumMod val="50000"/>
                </a:schemeClr>
              </a:solidFill>
              <a:latin typeface="Calibri"/>
            </a:rPr>
            <a:t>Cash Bridge</a:t>
          </a:r>
        </a:p>
      </cx:txPr>
    </cx:title>
    <cx:plotArea>
      <cx:plotAreaRegion>
        <cx:series layoutId="waterfall" uniqueId="{9A930374-8464-4F0C-A854-21A97F1A56CA}">
          <cx:tx>
            <cx:txData>
              <cx:f>_xlchart.v1.1</cx:f>
              <cx:v>Amount</cx:v>
            </cx:txData>
          </cx:tx>
          <cx:dataPt idx="0">
            <cx:spPr>
              <a:solidFill>
                <a:srgbClr val="07393C"/>
              </a:solidFill>
            </cx:spPr>
          </cx:dataPt>
          <cx:dataPt idx="1">
            <cx:spPr>
              <a:solidFill>
                <a:srgbClr val="337E8D"/>
              </a:solidFill>
            </cx:spPr>
          </cx:dataPt>
          <cx:dataPt idx="6">
            <cx:spPr>
              <a:solidFill>
                <a:srgbClr val="07393C"/>
              </a:solidFill>
            </cx:spPr>
          </cx:dataPt>
          <cx:dataLabels pos="outEnd">
            <cx:visibility seriesName="0" categoryName="0" value="1"/>
          </cx:dataLabels>
          <cx:dataId val="0"/>
          <cx:layoutPr>
            <cx:subtotals>
              <cx:idx val="6"/>
            </cx:subtotals>
          </cx:layoutPr>
        </cx:series>
      </cx:plotAreaRegion>
      <cx:axis id="0">
        <cx:catScaling gapWidth="0.5"/>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microsoft.com/office/2014/relationships/chartEx" Target="../charts/chartEx1.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21</xdr:col>
      <xdr:colOff>1028700</xdr:colOff>
      <xdr:row>48</xdr:row>
      <xdr:rowOff>152400</xdr:rowOff>
    </xdr:from>
    <xdr:to>
      <xdr:col>23</xdr:col>
      <xdr:colOff>647700</xdr:colOff>
      <xdr:row>62</xdr:row>
      <xdr:rowOff>120015</xdr:rowOff>
    </xdr:to>
    <mc:AlternateContent xmlns:mc="http://schemas.openxmlformats.org/markup-compatibility/2006" xmlns:a14="http://schemas.microsoft.com/office/drawing/2010/main">
      <mc:Choice Requires="a14">
        <xdr:graphicFrame macro="">
          <xdr:nvGraphicFramePr>
            <xdr:cNvPr id="3" name="Month">
              <a:extLst>
                <a:ext uri="{FF2B5EF4-FFF2-40B4-BE49-F238E27FC236}">
                  <a16:creationId xmlns:a16="http://schemas.microsoft.com/office/drawing/2014/main" id="{86EA27D5-AB04-80D5-41AD-BD486862C422}"/>
                </a:ext>
              </a:extLst>
            </xdr:cNvPr>
            <xdr:cNvGraphicFramePr/>
          </xdr:nvGraphicFramePr>
          <xdr:xfrm>
            <a:off x="0" y="0"/>
            <a:ext cx="0" cy="0"/>
          </xdr:xfrm>
          <a:graphic>
            <a:graphicData uri="http://schemas.microsoft.com/office/drawing/2010/slicer">
              <sle:slicer xmlns:sle="http://schemas.microsoft.com/office/drawing/2010/slicer" name="Month"/>
            </a:graphicData>
          </a:graphic>
        </xdr:graphicFrame>
      </mc:Choice>
      <mc:Fallback xmlns="">
        <xdr:sp macro="" textlink="">
          <xdr:nvSpPr>
            <xdr:cNvPr id="0" name=""/>
            <xdr:cNvSpPr>
              <a:spLocks noTextEdit="1"/>
            </xdr:cNvSpPr>
          </xdr:nvSpPr>
          <xdr:spPr>
            <a:xfrm>
              <a:off x="18366441" y="8444753"/>
              <a:ext cx="1824318" cy="244187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20</xdr:col>
      <xdr:colOff>205740</xdr:colOff>
      <xdr:row>49</xdr:row>
      <xdr:rowOff>0</xdr:rowOff>
    </xdr:from>
    <xdr:to>
      <xdr:col>21</xdr:col>
      <xdr:colOff>929640</xdr:colOff>
      <xdr:row>62</xdr:row>
      <xdr:rowOff>135255</xdr:rowOff>
    </xdr:to>
    <mc:AlternateContent xmlns:mc="http://schemas.openxmlformats.org/markup-compatibility/2006" xmlns:a14="http://schemas.microsoft.com/office/drawing/2010/main">
      <mc:Choice Requires="a14">
        <xdr:graphicFrame macro="">
          <xdr:nvGraphicFramePr>
            <xdr:cNvPr id="4" name="Acorn Map 1 - Statement Section">
              <a:extLst>
                <a:ext uri="{FF2B5EF4-FFF2-40B4-BE49-F238E27FC236}">
                  <a16:creationId xmlns:a16="http://schemas.microsoft.com/office/drawing/2014/main" id="{A031EC95-2E7C-225C-BA00-D6410B817A37}"/>
                </a:ext>
              </a:extLst>
            </xdr:cNvPr>
            <xdr:cNvGraphicFramePr/>
          </xdr:nvGraphicFramePr>
          <xdr:xfrm>
            <a:off x="0" y="0"/>
            <a:ext cx="0" cy="0"/>
          </xdr:xfrm>
          <a:graphic>
            <a:graphicData uri="http://schemas.microsoft.com/office/drawing/2010/slicer">
              <sle:slicer xmlns:sle="http://schemas.microsoft.com/office/drawing/2010/slicer" name="Acorn Map 1 - Statement Section"/>
            </a:graphicData>
          </a:graphic>
        </xdr:graphicFrame>
      </mc:Choice>
      <mc:Fallback xmlns="">
        <xdr:sp macro="" textlink="">
          <xdr:nvSpPr>
            <xdr:cNvPr id="0" name=""/>
            <xdr:cNvSpPr>
              <a:spLocks noTextEdit="1"/>
            </xdr:cNvSpPr>
          </xdr:nvSpPr>
          <xdr:spPr>
            <a:xfrm>
              <a:off x="16440822" y="8462682"/>
              <a:ext cx="1826559" cy="243918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xdr:col>
      <xdr:colOff>151005</xdr:colOff>
      <xdr:row>3</xdr:row>
      <xdr:rowOff>100372</xdr:rowOff>
    </xdr:from>
    <xdr:to>
      <xdr:col>3</xdr:col>
      <xdr:colOff>724050</xdr:colOff>
      <xdr:row>9</xdr:row>
      <xdr:rowOff>129539</xdr:rowOff>
    </xdr:to>
    <xdr:grpSp>
      <xdr:nvGrpSpPr>
        <xdr:cNvPr id="32" name="Group 31">
          <a:extLst>
            <a:ext uri="{FF2B5EF4-FFF2-40B4-BE49-F238E27FC236}">
              <a16:creationId xmlns:a16="http://schemas.microsoft.com/office/drawing/2014/main" id="{B186342F-0C2E-C16A-0FC6-33B2EB975BDD}"/>
            </a:ext>
          </a:extLst>
        </xdr:cNvPr>
        <xdr:cNvGrpSpPr/>
      </xdr:nvGrpSpPr>
      <xdr:grpSpPr>
        <a:xfrm>
          <a:off x="276511" y="727901"/>
          <a:ext cx="2383915" cy="1051144"/>
          <a:chOff x="204345" y="1860592"/>
          <a:chExt cx="2386605" cy="1035007"/>
        </a:xfrm>
      </xdr:grpSpPr>
      <xdr:sp macro="" textlink="$T$6">
        <xdr:nvSpPr>
          <xdr:cNvPr id="2" name="TextBox 12">
            <a:extLst>
              <a:ext uri="{FF2B5EF4-FFF2-40B4-BE49-F238E27FC236}">
                <a16:creationId xmlns:a16="http://schemas.microsoft.com/office/drawing/2014/main" id="{B9E6D581-913C-4A9E-9CDD-31434FC3FEB1}"/>
              </a:ext>
              <a:ext uri="{147F2762-F138-4A5C-976F-8EAC2B608ADB}">
                <a16:predDERef xmlns:a16="http://schemas.microsoft.com/office/drawing/2014/main" pred="{8E3329FD-0DB7-4C4C-BF9C-576A935468B7}"/>
              </a:ext>
            </a:extLst>
          </xdr:cNvPr>
          <xdr:cNvSpPr txBox="1"/>
        </xdr:nvSpPr>
        <xdr:spPr>
          <a:xfrm>
            <a:off x="571500" y="2301240"/>
            <a:ext cx="1562619" cy="522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C78B8245-FDA0-4CCB-9FAC-4B7B439AA628}" type="TxLink">
              <a:rPr lang="en-US" sz="2000" b="0" i="0" u="none" strike="noStrike">
                <a:solidFill>
                  <a:schemeClr val="bg1">
                    <a:lumMod val="50000"/>
                  </a:schemeClr>
                </a:solidFill>
                <a:latin typeface="Arial"/>
                <a:ea typeface="+mn-ea"/>
                <a:cs typeface="Arial"/>
              </a:rPr>
              <a:pPr marL="0" indent="0" algn="ctr"/>
              <a:t> $131,483 </a:t>
            </a:fld>
            <a:endParaRPr lang="en-US" sz="2000" b="0" i="0" u="none" strike="noStrike">
              <a:solidFill>
                <a:schemeClr val="bg1">
                  <a:lumMod val="50000"/>
                </a:schemeClr>
              </a:solidFill>
              <a:latin typeface="Aptos Narrow"/>
              <a:ea typeface="+mn-ea"/>
              <a:cs typeface="+mn-cs"/>
            </a:endParaRPr>
          </a:p>
        </xdr:txBody>
      </xdr:sp>
      <xdr:sp macro="" textlink="">
        <xdr:nvSpPr>
          <xdr:cNvPr id="7" name="TextBox 11">
            <a:extLst>
              <a:ext uri="{FF2B5EF4-FFF2-40B4-BE49-F238E27FC236}">
                <a16:creationId xmlns:a16="http://schemas.microsoft.com/office/drawing/2014/main" id="{BC399E9F-D431-4AC0-8674-7498AA829E1E}"/>
              </a:ext>
              <a:ext uri="{147F2762-F138-4A5C-976F-8EAC2B608ADB}">
                <a16:predDERef xmlns:a16="http://schemas.microsoft.com/office/drawing/2014/main" pred="{A2C31F6D-14F0-449B-B785-F30F0E45676A}"/>
              </a:ext>
            </a:extLst>
          </xdr:cNvPr>
          <xdr:cNvSpPr txBox="1"/>
        </xdr:nvSpPr>
        <xdr:spPr>
          <a:xfrm>
            <a:off x="652409" y="1872539"/>
            <a:ext cx="1589212" cy="533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lvl="0" indent="0" algn="ctr"/>
            <a:r>
              <a:rPr lang="en-US" sz="1800" b="1">
                <a:solidFill>
                  <a:srgbClr val="38434D"/>
                </a:solidFill>
                <a:latin typeface="+mn-lt"/>
                <a:ea typeface="+mn-ea"/>
                <a:cs typeface="+mn-cs"/>
              </a:rPr>
              <a:t>Revenue</a:t>
            </a:r>
          </a:p>
        </xdr:txBody>
      </xdr:sp>
      <xdr:grpSp>
        <xdr:nvGrpSpPr>
          <xdr:cNvPr id="29" name="Group 28">
            <a:extLst>
              <a:ext uri="{FF2B5EF4-FFF2-40B4-BE49-F238E27FC236}">
                <a16:creationId xmlns:a16="http://schemas.microsoft.com/office/drawing/2014/main" id="{54C7894D-0237-4752-9926-FBA20781180E}"/>
              </a:ext>
            </a:extLst>
          </xdr:cNvPr>
          <xdr:cNvGrpSpPr/>
        </xdr:nvGrpSpPr>
        <xdr:grpSpPr>
          <a:xfrm>
            <a:off x="204345" y="1860592"/>
            <a:ext cx="2386605" cy="1035007"/>
            <a:chOff x="10335064" y="1912034"/>
            <a:chExt cx="2380622" cy="1049978"/>
          </a:xfrm>
        </xdr:grpSpPr>
        <xdr:sp macro="" textlink="">
          <xdr:nvSpPr>
            <xdr:cNvPr id="30" name="Rectangle: Rounded Corners 9">
              <a:extLst>
                <a:ext uri="{FF2B5EF4-FFF2-40B4-BE49-F238E27FC236}">
                  <a16:creationId xmlns:a16="http://schemas.microsoft.com/office/drawing/2014/main" id="{9F123129-7B31-726E-D405-74EA9B806FFF}"/>
                </a:ext>
              </a:extLst>
            </xdr:cNvPr>
            <xdr:cNvSpPr/>
          </xdr:nvSpPr>
          <xdr:spPr>
            <a:xfrm>
              <a:off x="10335064" y="1912034"/>
              <a:ext cx="2380622" cy="1049978"/>
            </a:xfrm>
            <a:prstGeom prst="roundRect">
              <a:avLst>
                <a:gd name="adj" fmla="val 1042"/>
              </a:avLst>
            </a:prstGeom>
            <a:noFill/>
            <a:ln w="6350">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1" name="Rectangle: Top Corners Rounded 10">
              <a:extLst>
                <a:ext uri="{FF2B5EF4-FFF2-40B4-BE49-F238E27FC236}">
                  <a16:creationId xmlns:a16="http://schemas.microsoft.com/office/drawing/2014/main" id="{D7F786FF-E4C1-70B0-0E30-0CD1D485B9D3}"/>
                </a:ext>
              </a:extLst>
            </xdr:cNvPr>
            <xdr:cNvSpPr/>
          </xdr:nvSpPr>
          <xdr:spPr>
            <a:xfrm>
              <a:off x="10342684" y="1912034"/>
              <a:ext cx="2372903" cy="74163"/>
            </a:xfrm>
            <a:prstGeom prst="round2SameRect">
              <a:avLst/>
            </a:prstGeom>
            <a:solidFill>
              <a:srgbClr val="337E8D"/>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3</xdr:col>
      <xdr:colOff>823470</xdr:colOff>
      <xdr:row>3</xdr:row>
      <xdr:rowOff>100372</xdr:rowOff>
    </xdr:from>
    <xdr:to>
      <xdr:col>6</xdr:col>
      <xdr:colOff>512595</xdr:colOff>
      <xdr:row>9</xdr:row>
      <xdr:rowOff>129539</xdr:rowOff>
    </xdr:to>
    <xdr:grpSp>
      <xdr:nvGrpSpPr>
        <xdr:cNvPr id="33" name="Group 32">
          <a:extLst>
            <a:ext uri="{FF2B5EF4-FFF2-40B4-BE49-F238E27FC236}">
              <a16:creationId xmlns:a16="http://schemas.microsoft.com/office/drawing/2014/main" id="{02496AFC-8C94-4EA7-9E3D-B148C49BFB68}"/>
            </a:ext>
          </a:extLst>
        </xdr:cNvPr>
        <xdr:cNvGrpSpPr/>
      </xdr:nvGrpSpPr>
      <xdr:grpSpPr>
        <a:xfrm>
          <a:off x="2759846" y="727901"/>
          <a:ext cx="2378537" cy="1051144"/>
          <a:chOff x="204345" y="1860592"/>
          <a:chExt cx="2386605" cy="1035007"/>
        </a:xfrm>
      </xdr:grpSpPr>
      <xdr:sp macro="" textlink="$T$7">
        <xdr:nvSpPr>
          <xdr:cNvPr id="34" name="TextBox 12">
            <a:extLst>
              <a:ext uri="{FF2B5EF4-FFF2-40B4-BE49-F238E27FC236}">
                <a16:creationId xmlns:a16="http://schemas.microsoft.com/office/drawing/2014/main" id="{A201A6B9-7850-E629-62F1-6B97A752EFC0}"/>
              </a:ext>
              <a:ext uri="{147F2762-F138-4A5C-976F-8EAC2B608ADB}">
                <a16:predDERef xmlns:a16="http://schemas.microsoft.com/office/drawing/2014/main" pred="{8E3329FD-0DB7-4C4C-BF9C-576A935468B7}"/>
              </a:ext>
            </a:extLst>
          </xdr:cNvPr>
          <xdr:cNvSpPr txBox="1"/>
        </xdr:nvSpPr>
        <xdr:spPr>
          <a:xfrm>
            <a:off x="571500" y="2301240"/>
            <a:ext cx="1562619" cy="522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E27C0F14-1241-4562-BA20-4850706CC475}" type="TxLink">
              <a:rPr lang="en-US" sz="2000" b="0" i="0" u="none" strike="noStrike">
                <a:solidFill>
                  <a:schemeClr val="bg1">
                    <a:lumMod val="50000"/>
                  </a:schemeClr>
                </a:solidFill>
                <a:latin typeface="Arial"/>
                <a:ea typeface="+mn-ea"/>
                <a:cs typeface="Arial"/>
              </a:rPr>
              <a:pPr marL="0" indent="0" algn="ctr"/>
              <a:t> $56,735 </a:t>
            </a:fld>
            <a:endParaRPr lang="en-US" sz="2000" b="0" i="0" u="none" strike="noStrike">
              <a:solidFill>
                <a:schemeClr val="bg1">
                  <a:lumMod val="50000"/>
                </a:schemeClr>
              </a:solidFill>
              <a:latin typeface="Aptos Narrow"/>
              <a:ea typeface="+mn-ea"/>
              <a:cs typeface="+mn-cs"/>
            </a:endParaRPr>
          </a:p>
          <a:p>
            <a:pPr marL="0" indent="0" algn="ctr"/>
            <a:endParaRPr lang="en-US" sz="2000" b="0" i="0" u="none" strike="noStrike">
              <a:solidFill>
                <a:schemeClr val="bg1">
                  <a:lumMod val="50000"/>
                </a:schemeClr>
              </a:solidFill>
              <a:latin typeface="Aptos Narrow"/>
              <a:ea typeface="+mn-ea"/>
              <a:cs typeface="+mn-cs"/>
            </a:endParaRPr>
          </a:p>
        </xdr:txBody>
      </xdr:sp>
      <xdr:sp macro="" textlink="">
        <xdr:nvSpPr>
          <xdr:cNvPr id="35" name="TextBox 11">
            <a:extLst>
              <a:ext uri="{FF2B5EF4-FFF2-40B4-BE49-F238E27FC236}">
                <a16:creationId xmlns:a16="http://schemas.microsoft.com/office/drawing/2014/main" id="{A1FB60E0-98AF-54B8-20F2-DD14236AC05F}"/>
              </a:ext>
              <a:ext uri="{147F2762-F138-4A5C-976F-8EAC2B608ADB}">
                <a16:predDERef xmlns:a16="http://schemas.microsoft.com/office/drawing/2014/main" pred="{A2C31F6D-14F0-449B-B785-F30F0E45676A}"/>
              </a:ext>
            </a:extLst>
          </xdr:cNvPr>
          <xdr:cNvSpPr txBox="1"/>
        </xdr:nvSpPr>
        <xdr:spPr>
          <a:xfrm>
            <a:off x="652409" y="1872539"/>
            <a:ext cx="1589212" cy="533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lvl="0" indent="0" algn="ctr"/>
            <a:r>
              <a:rPr lang="en-US" sz="1800" b="1">
                <a:solidFill>
                  <a:srgbClr val="38434D"/>
                </a:solidFill>
                <a:latin typeface="+mn-lt"/>
                <a:ea typeface="+mn-ea"/>
                <a:cs typeface="+mn-cs"/>
              </a:rPr>
              <a:t>Cost</a:t>
            </a:r>
            <a:r>
              <a:rPr lang="en-US" sz="1800" b="1" baseline="0">
                <a:solidFill>
                  <a:srgbClr val="38434D"/>
                </a:solidFill>
                <a:latin typeface="+mn-lt"/>
                <a:ea typeface="+mn-ea"/>
                <a:cs typeface="+mn-cs"/>
              </a:rPr>
              <a:t> of Sales</a:t>
            </a:r>
            <a:endParaRPr lang="en-US" sz="1800" b="1">
              <a:solidFill>
                <a:srgbClr val="38434D"/>
              </a:solidFill>
              <a:latin typeface="+mn-lt"/>
              <a:ea typeface="+mn-ea"/>
              <a:cs typeface="+mn-cs"/>
            </a:endParaRPr>
          </a:p>
        </xdr:txBody>
      </xdr:sp>
      <xdr:grpSp>
        <xdr:nvGrpSpPr>
          <xdr:cNvPr id="36" name="Group 35">
            <a:extLst>
              <a:ext uri="{FF2B5EF4-FFF2-40B4-BE49-F238E27FC236}">
                <a16:creationId xmlns:a16="http://schemas.microsoft.com/office/drawing/2014/main" id="{DFA26A35-7F6E-9173-A123-4C6F55C6DA17}"/>
              </a:ext>
            </a:extLst>
          </xdr:cNvPr>
          <xdr:cNvGrpSpPr/>
        </xdr:nvGrpSpPr>
        <xdr:grpSpPr>
          <a:xfrm>
            <a:off x="204345" y="1860592"/>
            <a:ext cx="2386605" cy="1035007"/>
            <a:chOff x="10335064" y="1912034"/>
            <a:chExt cx="2380622" cy="1049978"/>
          </a:xfrm>
        </xdr:grpSpPr>
        <xdr:sp macro="" textlink="">
          <xdr:nvSpPr>
            <xdr:cNvPr id="37" name="Rectangle: Rounded Corners 9">
              <a:extLst>
                <a:ext uri="{FF2B5EF4-FFF2-40B4-BE49-F238E27FC236}">
                  <a16:creationId xmlns:a16="http://schemas.microsoft.com/office/drawing/2014/main" id="{1A0681E0-D287-99F0-1E2A-5EF6C01E6903}"/>
                </a:ext>
              </a:extLst>
            </xdr:cNvPr>
            <xdr:cNvSpPr/>
          </xdr:nvSpPr>
          <xdr:spPr>
            <a:xfrm>
              <a:off x="10335064" y="1912034"/>
              <a:ext cx="2380622" cy="1049978"/>
            </a:xfrm>
            <a:prstGeom prst="roundRect">
              <a:avLst>
                <a:gd name="adj" fmla="val 1042"/>
              </a:avLst>
            </a:prstGeom>
            <a:noFill/>
            <a:ln w="6350">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8" name="Rectangle: Top Corners Rounded 10">
              <a:extLst>
                <a:ext uri="{FF2B5EF4-FFF2-40B4-BE49-F238E27FC236}">
                  <a16:creationId xmlns:a16="http://schemas.microsoft.com/office/drawing/2014/main" id="{19543D63-F2FA-466B-98DB-D9DD6647DD97}"/>
                </a:ext>
              </a:extLst>
            </xdr:cNvPr>
            <xdr:cNvSpPr/>
          </xdr:nvSpPr>
          <xdr:spPr>
            <a:xfrm>
              <a:off x="10342684" y="1912034"/>
              <a:ext cx="2372903" cy="74163"/>
            </a:xfrm>
            <a:prstGeom prst="round2SameRect">
              <a:avLst/>
            </a:prstGeom>
            <a:solidFill>
              <a:srgbClr val="337E8D"/>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6</xdr:col>
      <xdr:colOff>612015</xdr:colOff>
      <xdr:row>3</xdr:row>
      <xdr:rowOff>100372</xdr:rowOff>
    </xdr:from>
    <xdr:to>
      <xdr:col>9</xdr:col>
      <xdr:colOff>301140</xdr:colOff>
      <xdr:row>9</xdr:row>
      <xdr:rowOff>129539</xdr:rowOff>
    </xdr:to>
    <xdr:grpSp>
      <xdr:nvGrpSpPr>
        <xdr:cNvPr id="39" name="Group 38">
          <a:extLst>
            <a:ext uri="{FF2B5EF4-FFF2-40B4-BE49-F238E27FC236}">
              <a16:creationId xmlns:a16="http://schemas.microsoft.com/office/drawing/2014/main" id="{55A875E4-9266-4EB0-911F-8DEB00BF8454}"/>
            </a:ext>
          </a:extLst>
        </xdr:cNvPr>
        <xdr:cNvGrpSpPr/>
      </xdr:nvGrpSpPr>
      <xdr:grpSpPr>
        <a:xfrm>
          <a:off x="5237803" y="727901"/>
          <a:ext cx="2378537" cy="1051144"/>
          <a:chOff x="204345" y="1860592"/>
          <a:chExt cx="2386605" cy="1035007"/>
        </a:xfrm>
      </xdr:grpSpPr>
      <xdr:sp macro="" textlink="$T$8">
        <xdr:nvSpPr>
          <xdr:cNvPr id="40" name="TextBox 12">
            <a:extLst>
              <a:ext uri="{FF2B5EF4-FFF2-40B4-BE49-F238E27FC236}">
                <a16:creationId xmlns:a16="http://schemas.microsoft.com/office/drawing/2014/main" id="{EA2DE05B-71CF-B24D-AE9E-E8B0D9380706}"/>
              </a:ext>
              <a:ext uri="{147F2762-F138-4A5C-976F-8EAC2B608ADB}">
                <a16:predDERef xmlns:a16="http://schemas.microsoft.com/office/drawing/2014/main" pred="{8E3329FD-0DB7-4C4C-BF9C-576A935468B7}"/>
              </a:ext>
            </a:extLst>
          </xdr:cNvPr>
          <xdr:cNvSpPr txBox="1"/>
        </xdr:nvSpPr>
        <xdr:spPr>
          <a:xfrm>
            <a:off x="571500" y="2301240"/>
            <a:ext cx="1562619" cy="522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8DC6AA76-B3C0-49E3-A190-936090A510A6}" type="TxLink">
              <a:rPr lang="en-US" sz="2000" b="0" i="0" u="none" strike="noStrike">
                <a:solidFill>
                  <a:schemeClr val="bg1">
                    <a:lumMod val="50000"/>
                  </a:schemeClr>
                </a:solidFill>
                <a:latin typeface="Arial"/>
                <a:ea typeface="+mn-ea"/>
                <a:cs typeface="Arial"/>
              </a:rPr>
              <a:pPr marL="0" indent="0" algn="ctr"/>
              <a:t> $79,237 </a:t>
            </a:fld>
            <a:endParaRPr lang="en-US" sz="2000" b="0" i="0" u="none" strike="noStrike">
              <a:solidFill>
                <a:schemeClr val="bg1">
                  <a:lumMod val="50000"/>
                </a:schemeClr>
              </a:solidFill>
              <a:latin typeface="Aptos Narrow"/>
              <a:ea typeface="+mn-ea"/>
              <a:cs typeface="+mn-cs"/>
            </a:endParaRPr>
          </a:p>
        </xdr:txBody>
      </xdr:sp>
      <xdr:sp macro="" textlink="">
        <xdr:nvSpPr>
          <xdr:cNvPr id="41" name="TextBox 11">
            <a:extLst>
              <a:ext uri="{FF2B5EF4-FFF2-40B4-BE49-F238E27FC236}">
                <a16:creationId xmlns:a16="http://schemas.microsoft.com/office/drawing/2014/main" id="{21D08114-E1CE-4211-4773-F71B902090DA}"/>
              </a:ext>
              <a:ext uri="{147F2762-F138-4A5C-976F-8EAC2B608ADB}">
                <a16:predDERef xmlns:a16="http://schemas.microsoft.com/office/drawing/2014/main" pred="{A2C31F6D-14F0-449B-B785-F30F0E45676A}"/>
              </a:ext>
            </a:extLst>
          </xdr:cNvPr>
          <xdr:cNvSpPr txBox="1"/>
        </xdr:nvSpPr>
        <xdr:spPr>
          <a:xfrm>
            <a:off x="270510" y="1872539"/>
            <a:ext cx="2263140" cy="533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lvl="0" indent="0" algn="ctr"/>
            <a:r>
              <a:rPr lang="en-US" sz="1800" b="1">
                <a:solidFill>
                  <a:srgbClr val="38434D"/>
                </a:solidFill>
                <a:latin typeface="+mn-lt"/>
                <a:ea typeface="+mn-ea"/>
                <a:cs typeface="+mn-cs"/>
              </a:rPr>
              <a:t>Operating Expenses</a:t>
            </a:r>
          </a:p>
        </xdr:txBody>
      </xdr:sp>
      <xdr:grpSp>
        <xdr:nvGrpSpPr>
          <xdr:cNvPr id="42" name="Group 41">
            <a:extLst>
              <a:ext uri="{FF2B5EF4-FFF2-40B4-BE49-F238E27FC236}">
                <a16:creationId xmlns:a16="http://schemas.microsoft.com/office/drawing/2014/main" id="{AE7040F6-EB38-C926-FFBF-C7F6AC89D21E}"/>
              </a:ext>
            </a:extLst>
          </xdr:cNvPr>
          <xdr:cNvGrpSpPr/>
        </xdr:nvGrpSpPr>
        <xdr:grpSpPr>
          <a:xfrm>
            <a:off x="204345" y="1860592"/>
            <a:ext cx="2386605" cy="1035007"/>
            <a:chOff x="10335064" y="1912034"/>
            <a:chExt cx="2380622" cy="1049978"/>
          </a:xfrm>
        </xdr:grpSpPr>
        <xdr:sp macro="" textlink="">
          <xdr:nvSpPr>
            <xdr:cNvPr id="43" name="Rectangle: Rounded Corners 9">
              <a:extLst>
                <a:ext uri="{FF2B5EF4-FFF2-40B4-BE49-F238E27FC236}">
                  <a16:creationId xmlns:a16="http://schemas.microsoft.com/office/drawing/2014/main" id="{AF7BE39C-5F48-0307-208E-64DC13939A5D}"/>
                </a:ext>
              </a:extLst>
            </xdr:cNvPr>
            <xdr:cNvSpPr/>
          </xdr:nvSpPr>
          <xdr:spPr>
            <a:xfrm>
              <a:off x="10335064" y="1912034"/>
              <a:ext cx="2380622" cy="1049978"/>
            </a:xfrm>
            <a:prstGeom prst="roundRect">
              <a:avLst>
                <a:gd name="adj" fmla="val 1042"/>
              </a:avLst>
            </a:prstGeom>
            <a:noFill/>
            <a:ln w="6350">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4" name="Rectangle: Top Corners Rounded 10">
              <a:extLst>
                <a:ext uri="{FF2B5EF4-FFF2-40B4-BE49-F238E27FC236}">
                  <a16:creationId xmlns:a16="http://schemas.microsoft.com/office/drawing/2014/main" id="{318278EE-1515-7AF3-0088-13E956B67C7C}"/>
                </a:ext>
              </a:extLst>
            </xdr:cNvPr>
            <xdr:cNvSpPr/>
          </xdr:nvSpPr>
          <xdr:spPr>
            <a:xfrm>
              <a:off x="10342684" y="1912034"/>
              <a:ext cx="2372903" cy="74163"/>
            </a:xfrm>
            <a:prstGeom prst="round2SameRect">
              <a:avLst/>
            </a:prstGeom>
            <a:solidFill>
              <a:srgbClr val="337E8D"/>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12</xdr:col>
      <xdr:colOff>189105</xdr:colOff>
      <xdr:row>3</xdr:row>
      <xdr:rowOff>100372</xdr:rowOff>
    </xdr:from>
    <xdr:to>
      <xdr:col>14</xdr:col>
      <xdr:colOff>777390</xdr:colOff>
      <xdr:row>9</xdr:row>
      <xdr:rowOff>129539</xdr:rowOff>
    </xdr:to>
    <xdr:grpSp>
      <xdr:nvGrpSpPr>
        <xdr:cNvPr id="45" name="Group 44">
          <a:extLst>
            <a:ext uri="{FF2B5EF4-FFF2-40B4-BE49-F238E27FC236}">
              <a16:creationId xmlns:a16="http://schemas.microsoft.com/office/drawing/2014/main" id="{B3E87EB7-7F0C-4843-A7FF-F70FF069B622}"/>
            </a:ext>
          </a:extLst>
        </xdr:cNvPr>
        <xdr:cNvGrpSpPr/>
      </xdr:nvGrpSpPr>
      <xdr:grpSpPr>
        <a:xfrm>
          <a:off x="10193717" y="727901"/>
          <a:ext cx="2381226" cy="1051144"/>
          <a:chOff x="204345" y="1860592"/>
          <a:chExt cx="2386605" cy="1035007"/>
        </a:xfrm>
      </xdr:grpSpPr>
      <xdr:sp macro="" textlink="$T$10">
        <xdr:nvSpPr>
          <xdr:cNvPr id="46" name="TextBox 12">
            <a:extLst>
              <a:ext uri="{FF2B5EF4-FFF2-40B4-BE49-F238E27FC236}">
                <a16:creationId xmlns:a16="http://schemas.microsoft.com/office/drawing/2014/main" id="{95CE632F-525C-1BBD-1938-E59B45C1EBA3}"/>
              </a:ext>
              <a:ext uri="{147F2762-F138-4A5C-976F-8EAC2B608ADB}">
                <a16:predDERef xmlns:a16="http://schemas.microsoft.com/office/drawing/2014/main" pred="{8E3329FD-0DB7-4C4C-BF9C-576A935468B7}"/>
              </a:ext>
            </a:extLst>
          </xdr:cNvPr>
          <xdr:cNvSpPr txBox="1"/>
        </xdr:nvSpPr>
        <xdr:spPr>
          <a:xfrm>
            <a:off x="571500" y="2301240"/>
            <a:ext cx="1562619" cy="522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922E3BF9-3856-4CD7-B480-F693C15FBED9}" type="TxLink">
              <a:rPr lang="en-US" sz="2000" b="0" i="0" u="none" strike="noStrike">
                <a:solidFill>
                  <a:schemeClr val="bg1">
                    <a:lumMod val="50000"/>
                  </a:schemeClr>
                </a:solidFill>
                <a:latin typeface="Arial"/>
                <a:ea typeface="+mn-ea"/>
                <a:cs typeface="Arial"/>
              </a:rPr>
              <a:pPr marL="0" indent="0" algn="ctr"/>
              <a:t> $152,583 </a:t>
            </a:fld>
            <a:endParaRPr lang="en-US" sz="2000" b="0" i="0" u="none" strike="noStrike">
              <a:solidFill>
                <a:schemeClr val="bg1">
                  <a:lumMod val="50000"/>
                </a:schemeClr>
              </a:solidFill>
              <a:latin typeface="Aptos Narrow"/>
              <a:ea typeface="+mn-ea"/>
              <a:cs typeface="+mn-cs"/>
            </a:endParaRPr>
          </a:p>
        </xdr:txBody>
      </xdr:sp>
      <xdr:sp macro="" textlink="">
        <xdr:nvSpPr>
          <xdr:cNvPr id="47" name="TextBox 11">
            <a:extLst>
              <a:ext uri="{FF2B5EF4-FFF2-40B4-BE49-F238E27FC236}">
                <a16:creationId xmlns:a16="http://schemas.microsoft.com/office/drawing/2014/main" id="{E0630DA1-4672-048F-3DF5-DFEA48D53C65}"/>
              </a:ext>
              <a:ext uri="{147F2762-F138-4A5C-976F-8EAC2B608ADB}">
                <a16:predDERef xmlns:a16="http://schemas.microsoft.com/office/drawing/2014/main" pred="{A2C31F6D-14F0-449B-B785-F30F0E45676A}"/>
              </a:ext>
            </a:extLst>
          </xdr:cNvPr>
          <xdr:cNvSpPr txBox="1"/>
        </xdr:nvSpPr>
        <xdr:spPr>
          <a:xfrm>
            <a:off x="652409" y="1872539"/>
            <a:ext cx="1589212" cy="533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lvl="0" indent="0" algn="ctr"/>
            <a:r>
              <a:rPr lang="en-US" sz="1800" b="1">
                <a:solidFill>
                  <a:srgbClr val="38434D"/>
                </a:solidFill>
                <a:latin typeface="+mn-lt"/>
                <a:ea typeface="+mn-ea"/>
                <a:cs typeface="+mn-cs"/>
              </a:rPr>
              <a:t>Cash Balance</a:t>
            </a:r>
          </a:p>
        </xdr:txBody>
      </xdr:sp>
      <xdr:grpSp>
        <xdr:nvGrpSpPr>
          <xdr:cNvPr id="48" name="Group 47">
            <a:extLst>
              <a:ext uri="{FF2B5EF4-FFF2-40B4-BE49-F238E27FC236}">
                <a16:creationId xmlns:a16="http://schemas.microsoft.com/office/drawing/2014/main" id="{6141FCBA-AA2A-5B3A-13DF-DD4404E84EF6}"/>
              </a:ext>
            </a:extLst>
          </xdr:cNvPr>
          <xdr:cNvGrpSpPr/>
        </xdr:nvGrpSpPr>
        <xdr:grpSpPr>
          <a:xfrm>
            <a:off x="204345" y="1860592"/>
            <a:ext cx="2386605" cy="1035007"/>
            <a:chOff x="10335064" y="1912034"/>
            <a:chExt cx="2380622" cy="1049978"/>
          </a:xfrm>
        </xdr:grpSpPr>
        <xdr:sp macro="" textlink="">
          <xdr:nvSpPr>
            <xdr:cNvPr id="49" name="Rectangle: Rounded Corners 9">
              <a:extLst>
                <a:ext uri="{FF2B5EF4-FFF2-40B4-BE49-F238E27FC236}">
                  <a16:creationId xmlns:a16="http://schemas.microsoft.com/office/drawing/2014/main" id="{26255F7C-C4D7-F012-BDA2-FFEFF54F3B85}"/>
                </a:ext>
              </a:extLst>
            </xdr:cNvPr>
            <xdr:cNvSpPr/>
          </xdr:nvSpPr>
          <xdr:spPr>
            <a:xfrm>
              <a:off x="10335064" y="1912034"/>
              <a:ext cx="2380622" cy="1049978"/>
            </a:xfrm>
            <a:prstGeom prst="roundRect">
              <a:avLst>
                <a:gd name="adj" fmla="val 1042"/>
              </a:avLst>
            </a:prstGeom>
            <a:noFill/>
            <a:ln w="6350">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0" name="Rectangle: Top Corners Rounded 10">
              <a:extLst>
                <a:ext uri="{FF2B5EF4-FFF2-40B4-BE49-F238E27FC236}">
                  <a16:creationId xmlns:a16="http://schemas.microsoft.com/office/drawing/2014/main" id="{F36E144A-2942-5F8D-C483-49CD26E153C0}"/>
                </a:ext>
              </a:extLst>
            </xdr:cNvPr>
            <xdr:cNvSpPr/>
          </xdr:nvSpPr>
          <xdr:spPr>
            <a:xfrm>
              <a:off x="10342684" y="1912034"/>
              <a:ext cx="2372903" cy="74163"/>
            </a:xfrm>
            <a:prstGeom prst="round2SameRect">
              <a:avLst/>
            </a:prstGeom>
            <a:solidFill>
              <a:srgbClr val="337E8D"/>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9</xdr:col>
      <xdr:colOff>400560</xdr:colOff>
      <xdr:row>3</xdr:row>
      <xdr:rowOff>100372</xdr:rowOff>
    </xdr:from>
    <xdr:to>
      <xdr:col>12</xdr:col>
      <xdr:colOff>89685</xdr:colOff>
      <xdr:row>9</xdr:row>
      <xdr:rowOff>129539</xdr:rowOff>
    </xdr:to>
    <xdr:grpSp>
      <xdr:nvGrpSpPr>
        <xdr:cNvPr id="51" name="Group 50">
          <a:extLst>
            <a:ext uri="{FF2B5EF4-FFF2-40B4-BE49-F238E27FC236}">
              <a16:creationId xmlns:a16="http://schemas.microsoft.com/office/drawing/2014/main" id="{C72C5E25-E2CC-433F-A13A-A60F8423417D}"/>
            </a:ext>
          </a:extLst>
        </xdr:cNvPr>
        <xdr:cNvGrpSpPr/>
      </xdr:nvGrpSpPr>
      <xdr:grpSpPr>
        <a:xfrm>
          <a:off x="7715760" y="727901"/>
          <a:ext cx="2378537" cy="1051144"/>
          <a:chOff x="204345" y="1860592"/>
          <a:chExt cx="2386605" cy="1035007"/>
        </a:xfrm>
      </xdr:grpSpPr>
      <xdr:sp macro="" textlink="$T$9">
        <xdr:nvSpPr>
          <xdr:cNvPr id="52" name="TextBox 12">
            <a:extLst>
              <a:ext uri="{FF2B5EF4-FFF2-40B4-BE49-F238E27FC236}">
                <a16:creationId xmlns:a16="http://schemas.microsoft.com/office/drawing/2014/main" id="{7D5A9A3B-C554-6D19-E82C-10B2EEC0A74D}"/>
              </a:ext>
              <a:ext uri="{147F2762-F138-4A5C-976F-8EAC2B608ADB}">
                <a16:predDERef xmlns:a16="http://schemas.microsoft.com/office/drawing/2014/main" pred="{8E3329FD-0DB7-4C4C-BF9C-576A935468B7}"/>
              </a:ext>
            </a:extLst>
          </xdr:cNvPr>
          <xdr:cNvSpPr txBox="1"/>
        </xdr:nvSpPr>
        <xdr:spPr>
          <a:xfrm>
            <a:off x="571500" y="2301240"/>
            <a:ext cx="1562619" cy="522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F0D0A735-1ADD-468A-BA69-322FB450720A}" type="TxLink">
              <a:rPr lang="en-US" sz="2000" b="0" i="0" u="none" strike="noStrike">
                <a:solidFill>
                  <a:schemeClr val="bg1">
                    <a:lumMod val="50000"/>
                  </a:schemeClr>
                </a:solidFill>
                <a:latin typeface="Arial"/>
                <a:ea typeface="+mn-ea"/>
                <a:cs typeface="Arial"/>
              </a:rPr>
              <a:pPr marL="0" indent="0" algn="ctr"/>
              <a:t> $(4,489)</a:t>
            </a:fld>
            <a:endParaRPr lang="en-US" sz="2000" b="0" i="0" u="none" strike="noStrike">
              <a:solidFill>
                <a:schemeClr val="bg1">
                  <a:lumMod val="50000"/>
                </a:schemeClr>
              </a:solidFill>
              <a:latin typeface="Aptos Narrow"/>
              <a:ea typeface="+mn-ea"/>
              <a:cs typeface="+mn-cs"/>
            </a:endParaRPr>
          </a:p>
        </xdr:txBody>
      </xdr:sp>
      <xdr:sp macro="" textlink="">
        <xdr:nvSpPr>
          <xdr:cNvPr id="53" name="TextBox 11">
            <a:extLst>
              <a:ext uri="{FF2B5EF4-FFF2-40B4-BE49-F238E27FC236}">
                <a16:creationId xmlns:a16="http://schemas.microsoft.com/office/drawing/2014/main" id="{CB3E59A8-8C05-C33E-DCAB-4AB0FCF21FAD}"/>
              </a:ext>
              <a:ext uri="{147F2762-F138-4A5C-976F-8EAC2B608ADB}">
                <a16:predDERef xmlns:a16="http://schemas.microsoft.com/office/drawing/2014/main" pred="{A2C31F6D-14F0-449B-B785-F30F0E45676A}"/>
              </a:ext>
            </a:extLst>
          </xdr:cNvPr>
          <xdr:cNvSpPr txBox="1"/>
        </xdr:nvSpPr>
        <xdr:spPr>
          <a:xfrm>
            <a:off x="652409" y="1872539"/>
            <a:ext cx="1589212" cy="533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lvl="0" indent="0" algn="ctr"/>
            <a:r>
              <a:rPr lang="en-US" sz="1800" b="1">
                <a:solidFill>
                  <a:srgbClr val="38434D"/>
                </a:solidFill>
                <a:latin typeface="+mn-lt"/>
                <a:ea typeface="+mn-ea"/>
                <a:cs typeface="+mn-cs"/>
              </a:rPr>
              <a:t>Net</a:t>
            </a:r>
            <a:r>
              <a:rPr lang="en-US" sz="1800" b="1" baseline="0">
                <a:solidFill>
                  <a:srgbClr val="38434D"/>
                </a:solidFill>
                <a:latin typeface="+mn-lt"/>
                <a:ea typeface="+mn-ea"/>
                <a:cs typeface="+mn-cs"/>
              </a:rPr>
              <a:t> Income</a:t>
            </a:r>
            <a:endParaRPr lang="en-US" sz="1800" b="1">
              <a:solidFill>
                <a:srgbClr val="38434D"/>
              </a:solidFill>
              <a:latin typeface="+mn-lt"/>
              <a:ea typeface="+mn-ea"/>
              <a:cs typeface="+mn-cs"/>
            </a:endParaRPr>
          </a:p>
        </xdr:txBody>
      </xdr:sp>
      <xdr:grpSp>
        <xdr:nvGrpSpPr>
          <xdr:cNvPr id="54" name="Group 53">
            <a:extLst>
              <a:ext uri="{FF2B5EF4-FFF2-40B4-BE49-F238E27FC236}">
                <a16:creationId xmlns:a16="http://schemas.microsoft.com/office/drawing/2014/main" id="{E2ED5614-D0AB-EBFE-FE01-5BD73912B3FD}"/>
              </a:ext>
            </a:extLst>
          </xdr:cNvPr>
          <xdr:cNvGrpSpPr/>
        </xdr:nvGrpSpPr>
        <xdr:grpSpPr>
          <a:xfrm>
            <a:off x="204345" y="1860592"/>
            <a:ext cx="2386605" cy="1035007"/>
            <a:chOff x="10335064" y="1912034"/>
            <a:chExt cx="2380622" cy="1049978"/>
          </a:xfrm>
        </xdr:grpSpPr>
        <xdr:sp macro="" textlink="">
          <xdr:nvSpPr>
            <xdr:cNvPr id="55" name="Rectangle: Rounded Corners 9">
              <a:extLst>
                <a:ext uri="{FF2B5EF4-FFF2-40B4-BE49-F238E27FC236}">
                  <a16:creationId xmlns:a16="http://schemas.microsoft.com/office/drawing/2014/main" id="{0E6AEB98-78D9-05F5-A6E9-D425A1CC3A28}"/>
                </a:ext>
              </a:extLst>
            </xdr:cNvPr>
            <xdr:cNvSpPr/>
          </xdr:nvSpPr>
          <xdr:spPr>
            <a:xfrm>
              <a:off x="10335064" y="1912034"/>
              <a:ext cx="2380622" cy="1049978"/>
            </a:xfrm>
            <a:prstGeom prst="roundRect">
              <a:avLst>
                <a:gd name="adj" fmla="val 1042"/>
              </a:avLst>
            </a:prstGeom>
            <a:noFill/>
            <a:ln w="6350">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6" name="Rectangle: Top Corners Rounded 10">
              <a:extLst>
                <a:ext uri="{FF2B5EF4-FFF2-40B4-BE49-F238E27FC236}">
                  <a16:creationId xmlns:a16="http://schemas.microsoft.com/office/drawing/2014/main" id="{1F0C3CFE-9513-31C7-6AB8-7EAE55716FE7}"/>
                </a:ext>
              </a:extLst>
            </xdr:cNvPr>
            <xdr:cNvSpPr/>
          </xdr:nvSpPr>
          <xdr:spPr>
            <a:xfrm>
              <a:off x="10342684" y="1912034"/>
              <a:ext cx="2372903" cy="74163"/>
            </a:xfrm>
            <a:prstGeom prst="round2SameRect">
              <a:avLst/>
            </a:prstGeom>
            <a:solidFill>
              <a:srgbClr val="337E8D"/>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2</xdr:col>
      <xdr:colOff>10510</xdr:colOff>
      <xdr:row>10</xdr:row>
      <xdr:rowOff>89338</xdr:rowOff>
    </xdr:from>
    <xdr:to>
      <xdr:col>8</xdr:col>
      <xdr:colOff>84082</xdr:colOff>
      <xdr:row>26</xdr:row>
      <xdr:rowOff>141890</xdr:rowOff>
    </xdr:to>
    <xdr:graphicFrame macro="">
      <xdr:nvGraphicFramePr>
        <xdr:cNvPr id="57" name="Chart 56">
          <a:extLst>
            <a:ext uri="{FF2B5EF4-FFF2-40B4-BE49-F238E27FC236}">
              <a16:creationId xmlns:a16="http://schemas.microsoft.com/office/drawing/2014/main" id="{35E149AE-0135-6E10-324B-A4DC66B46D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182217</xdr:colOff>
      <xdr:row>10</xdr:row>
      <xdr:rowOff>92765</xdr:rowOff>
    </xdr:from>
    <xdr:to>
      <xdr:col>14</xdr:col>
      <xdr:colOff>781878</xdr:colOff>
      <xdr:row>26</xdr:row>
      <xdr:rowOff>125896</xdr:rowOff>
    </xdr:to>
    <mc:AlternateContent xmlns:mc="http://schemas.openxmlformats.org/markup-compatibility/2006">
      <mc:Choice xmlns:cx1="http://schemas.microsoft.com/office/drawing/2015/9/8/chartex" Requires="cx1">
        <xdr:graphicFrame macro="">
          <xdr:nvGraphicFramePr>
            <xdr:cNvPr id="59" name="Chart 58">
              <a:extLst>
                <a:ext uri="{FF2B5EF4-FFF2-40B4-BE49-F238E27FC236}">
                  <a16:creationId xmlns:a16="http://schemas.microsoft.com/office/drawing/2014/main" id="{EDC4DB5A-DD32-D515-4846-8DBADC3EBF51}"/>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6613497" y="1891085"/>
              <a:ext cx="5994621" cy="271537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2</xdr:col>
      <xdr:colOff>19051</xdr:colOff>
      <xdr:row>27</xdr:row>
      <xdr:rowOff>76200</xdr:rowOff>
    </xdr:from>
    <xdr:to>
      <xdr:col>4</xdr:col>
      <xdr:colOff>322730</xdr:colOff>
      <xdr:row>40</xdr:row>
      <xdr:rowOff>22860</xdr:rowOff>
    </xdr:to>
    <xdr:graphicFrame macro="">
      <xdr:nvGraphicFramePr>
        <xdr:cNvPr id="60" name="Chart 59">
          <a:extLst>
            <a:ext uri="{FF2B5EF4-FFF2-40B4-BE49-F238E27FC236}">
              <a16:creationId xmlns:a16="http://schemas.microsoft.com/office/drawing/2014/main" id="{89B12229-C6C2-70F4-B098-E9F22225F3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2</xdr:col>
      <xdr:colOff>30480</xdr:colOff>
      <xdr:row>27</xdr:row>
      <xdr:rowOff>83820</xdr:rowOff>
    </xdr:from>
    <xdr:ext cx="1193917" cy="311496"/>
    <xdr:sp macro="" textlink="">
      <xdr:nvSpPr>
        <xdr:cNvPr id="61" name="TextBox 60">
          <a:extLst>
            <a:ext uri="{FF2B5EF4-FFF2-40B4-BE49-F238E27FC236}">
              <a16:creationId xmlns:a16="http://schemas.microsoft.com/office/drawing/2014/main" id="{5DE8172B-E7AB-C719-815B-DD391F098AE4}"/>
            </a:ext>
          </a:extLst>
        </xdr:cNvPr>
        <xdr:cNvSpPr txBox="1"/>
      </xdr:nvSpPr>
      <xdr:spPr>
        <a:xfrm>
          <a:off x="304800" y="4800600"/>
          <a:ext cx="1193917"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a:solidFill>
                <a:schemeClr val="bg1">
                  <a:lumMod val="50000"/>
                </a:schemeClr>
              </a:solidFill>
              <a:latin typeface="+mn-lt"/>
              <a:cs typeface="Arial" panose="020B0604020202020204" pitchFamily="34" charset="0"/>
            </a:rPr>
            <a:t>Top Expenses</a:t>
          </a:r>
        </a:p>
      </xdr:txBody>
    </xdr:sp>
    <xdr:clientData/>
  </xdr:oneCellAnchor>
  <xdr:twoCellAnchor>
    <xdr:from>
      <xdr:col>7</xdr:col>
      <xdr:colOff>857926</xdr:colOff>
      <xdr:row>27</xdr:row>
      <xdr:rowOff>76200</xdr:rowOff>
    </xdr:from>
    <xdr:to>
      <xdr:col>11</xdr:col>
      <xdr:colOff>328336</xdr:colOff>
      <xdr:row>40</xdr:row>
      <xdr:rowOff>22860</xdr:rowOff>
    </xdr:to>
    <xdr:graphicFrame macro="">
      <xdr:nvGraphicFramePr>
        <xdr:cNvPr id="62" name="Chart 61">
          <a:extLst>
            <a:ext uri="{FF2B5EF4-FFF2-40B4-BE49-F238E27FC236}">
              <a16:creationId xmlns:a16="http://schemas.microsoft.com/office/drawing/2014/main" id="{B8215579-3CD2-F56F-818C-68BD3E013B8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411149</xdr:colOff>
      <xdr:row>27</xdr:row>
      <xdr:rowOff>76200</xdr:rowOff>
    </xdr:from>
    <xdr:to>
      <xdr:col>14</xdr:col>
      <xdr:colOff>780719</xdr:colOff>
      <xdr:row>40</xdr:row>
      <xdr:rowOff>22860</xdr:rowOff>
    </xdr:to>
    <xdr:graphicFrame macro="">
      <xdr:nvGraphicFramePr>
        <xdr:cNvPr id="65" name="Chart 64">
          <a:extLst>
            <a:ext uri="{FF2B5EF4-FFF2-40B4-BE49-F238E27FC236}">
              <a16:creationId xmlns:a16="http://schemas.microsoft.com/office/drawing/2014/main" id="{D121F8D5-018D-46C8-9DA0-EC887429A8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405543</xdr:colOff>
      <xdr:row>27</xdr:row>
      <xdr:rowOff>76200</xdr:rowOff>
    </xdr:from>
    <xdr:to>
      <xdr:col>7</xdr:col>
      <xdr:colOff>775113</xdr:colOff>
      <xdr:row>40</xdr:row>
      <xdr:rowOff>22860</xdr:rowOff>
    </xdr:to>
    <xdr:graphicFrame macro="">
      <xdr:nvGraphicFramePr>
        <xdr:cNvPr id="67" name="Chart 66">
          <a:extLst>
            <a:ext uri="{FF2B5EF4-FFF2-40B4-BE49-F238E27FC236}">
              <a16:creationId xmlns:a16="http://schemas.microsoft.com/office/drawing/2014/main" id="{7859E1A6-340D-4DB5-9A8C-428AA76D42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133602</xdr:colOff>
      <xdr:row>3</xdr:row>
      <xdr:rowOff>89338</xdr:rowOff>
    </xdr:from>
    <xdr:to>
      <xdr:col>7</xdr:col>
      <xdr:colOff>896815</xdr:colOff>
      <xdr:row>19</xdr:row>
      <xdr:rowOff>141890</xdr:rowOff>
    </xdr:to>
    <xdr:graphicFrame macro="">
      <xdr:nvGraphicFramePr>
        <xdr:cNvPr id="34" name="Chart 33">
          <a:extLst>
            <a:ext uri="{FF2B5EF4-FFF2-40B4-BE49-F238E27FC236}">
              <a16:creationId xmlns:a16="http://schemas.microsoft.com/office/drawing/2014/main" id="{FD9A5181-D489-4157-8D50-F21061C57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147125</xdr:colOff>
      <xdr:row>23</xdr:row>
      <xdr:rowOff>152401</xdr:rowOff>
    </xdr:from>
    <xdr:to>
      <xdr:col>3</xdr:col>
      <xdr:colOff>164709</xdr:colOff>
      <xdr:row>34</xdr:row>
      <xdr:rowOff>121920</xdr:rowOff>
    </xdr:to>
    <mc:AlternateContent xmlns:mc="http://schemas.openxmlformats.org/markup-compatibility/2006" xmlns:a14="http://schemas.microsoft.com/office/drawing/2010/main">
      <mc:Choice Requires="a14">
        <xdr:graphicFrame macro="">
          <xdr:nvGraphicFramePr>
            <xdr:cNvPr id="42" name="Class">
              <a:extLst>
                <a:ext uri="{FF2B5EF4-FFF2-40B4-BE49-F238E27FC236}">
                  <a16:creationId xmlns:a16="http://schemas.microsoft.com/office/drawing/2014/main" id="{8D47333C-9F71-9A99-BCE9-D1DFB464F043}"/>
                </a:ext>
              </a:extLst>
            </xdr:cNvPr>
            <xdr:cNvGraphicFramePr/>
          </xdr:nvGraphicFramePr>
          <xdr:xfrm>
            <a:off x="0" y="0"/>
            <a:ext cx="0" cy="0"/>
          </xdr:xfrm>
          <a:graphic>
            <a:graphicData uri="http://schemas.microsoft.com/office/drawing/2010/slicer">
              <sle:slicer xmlns:sle="http://schemas.microsoft.com/office/drawing/2010/slicer" name="Class"/>
            </a:graphicData>
          </a:graphic>
        </xdr:graphicFrame>
      </mc:Choice>
      <mc:Fallback xmlns="">
        <xdr:sp macro="" textlink="">
          <xdr:nvSpPr>
            <xdr:cNvPr id="0" name=""/>
            <xdr:cNvSpPr>
              <a:spLocks noTextEdit="1"/>
            </xdr:cNvSpPr>
          </xdr:nvSpPr>
          <xdr:spPr>
            <a:xfrm>
              <a:off x="269045" y="4137661"/>
              <a:ext cx="1831144" cy="18135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392136</xdr:colOff>
      <xdr:row>23</xdr:row>
      <xdr:rowOff>147125</xdr:rowOff>
    </xdr:from>
    <xdr:to>
      <xdr:col>6</xdr:col>
      <xdr:colOff>67993</xdr:colOff>
      <xdr:row>34</xdr:row>
      <xdr:rowOff>83820</xdr:rowOff>
    </xdr:to>
    <mc:AlternateContent xmlns:mc="http://schemas.openxmlformats.org/markup-compatibility/2006" xmlns:a14="http://schemas.microsoft.com/office/drawing/2010/main">
      <mc:Choice Requires="a14">
        <xdr:graphicFrame macro="">
          <xdr:nvGraphicFramePr>
            <xdr:cNvPr id="43" name="Acorn Map 1 - Account Group">
              <a:extLst>
                <a:ext uri="{FF2B5EF4-FFF2-40B4-BE49-F238E27FC236}">
                  <a16:creationId xmlns:a16="http://schemas.microsoft.com/office/drawing/2014/main" id="{20E6C111-D045-06CE-47F2-ED56A3E6D73F}"/>
                </a:ext>
              </a:extLst>
            </xdr:cNvPr>
            <xdr:cNvGraphicFramePr/>
          </xdr:nvGraphicFramePr>
          <xdr:xfrm>
            <a:off x="0" y="0"/>
            <a:ext cx="0" cy="0"/>
          </xdr:xfrm>
          <a:graphic>
            <a:graphicData uri="http://schemas.microsoft.com/office/drawing/2010/slicer">
              <sle:slicer xmlns:sle="http://schemas.microsoft.com/office/drawing/2010/slicer" name="Acorn Map 1 - Account Group"/>
            </a:graphicData>
          </a:graphic>
        </xdr:graphicFrame>
      </mc:Choice>
      <mc:Fallback xmlns="">
        <xdr:sp macro="" textlink="">
          <xdr:nvSpPr>
            <xdr:cNvPr id="0" name=""/>
            <xdr:cNvSpPr>
              <a:spLocks noTextEdit="1"/>
            </xdr:cNvSpPr>
          </xdr:nvSpPr>
          <xdr:spPr>
            <a:xfrm>
              <a:off x="4171656" y="4132385"/>
              <a:ext cx="1832317" cy="178073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286043</xdr:colOff>
      <xdr:row>24</xdr:row>
      <xdr:rowOff>4689</xdr:rowOff>
    </xdr:from>
    <xdr:to>
      <xdr:col>5</xdr:col>
      <xdr:colOff>275492</xdr:colOff>
      <xdr:row>34</xdr:row>
      <xdr:rowOff>99060</xdr:rowOff>
    </xdr:to>
    <mc:AlternateContent xmlns:mc="http://schemas.openxmlformats.org/markup-compatibility/2006" xmlns:a14="http://schemas.microsoft.com/office/drawing/2010/main">
      <mc:Choice Requires="a14">
        <xdr:graphicFrame macro="">
          <xdr:nvGraphicFramePr>
            <xdr:cNvPr id="44" name="Acorn Map 1 - Statement Section 1">
              <a:extLst>
                <a:ext uri="{FF2B5EF4-FFF2-40B4-BE49-F238E27FC236}">
                  <a16:creationId xmlns:a16="http://schemas.microsoft.com/office/drawing/2014/main" id="{BBB2EDFD-C496-EBB1-B953-D3EE024909A0}"/>
                </a:ext>
              </a:extLst>
            </xdr:cNvPr>
            <xdr:cNvGraphicFramePr/>
          </xdr:nvGraphicFramePr>
          <xdr:xfrm>
            <a:off x="0" y="0"/>
            <a:ext cx="0" cy="0"/>
          </xdr:xfrm>
          <a:graphic>
            <a:graphicData uri="http://schemas.microsoft.com/office/drawing/2010/slicer">
              <sle:slicer xmlns:sle="http://schemas.microsoft.com/office/drawing/2010/slicer" name="Acorn Map 1 - Statement Section 1"/>
            </a:graphicData>
          </a:graphic>
        </xdr:graphicFrame>
      </mc:Choice>
      <mc:Fallback xmlns="">
        <xdr:sp macro="" textlink="">
          <xdr:nvSpPr>
            <xdr:cNvPr id="0" name=""/>
            <xdr:cNvSpPr>
              <a:spLocks noTextEdit="1"/>
            </xdr:cNvSpPr>
          </xdr:nvSpPr>
          <xdr:spPr>
            <a:xfrm>
              <a:off x="2221523" y="4157589"/>
              <a:ext cx="1833489" cy="17707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ris Matheson" refreshedDate="46132.832401273146" createdVersion="8" refreshedVersion="8" minRefreshableVersion="3" recordCount="585" xr:uid="{0ADF3903-890C-4E46-8ECE-5C1CC217039B}">
  <cacheSource type="worksheet">
    <worksheetSource ref="B5:H590" sheet="IS GL Summary"/>
  </cacheSource>
  <cacheFields count="7">
    <cacheField name="Month" numFmtId="14">
      <sharedItems containsSemiMixedTypes="0" containsNonDate="0" containsDate="1" containsString="0" minDate="2025-01-31T00:00:00" maxDate="2026-04-01T00:00:00" count="15">
        <d v="2025-01-31T00:00:00"/>
        <d v="2025-02-28T00:00:00"/>
        <d v="2025-03-31T00:00:00"/>
        <d v="2025-04-30T00:00:00"/>
        <d v="2025-05-31T00:00:00"/>
        <d v="2025-06-30T00:00:00"/>
        <d v="2025-07-31T00:00:00"/>
        <d v="2025-08-31T00:00:00"/>
        <d v="2025-09-30T00:00:00"/>
        <d v="2025-10-31T00:00:00"/>
        <d v="2025-11-30T00:00:00"/>
        <d v="2025-12-31T00:00:00"/>
        <d v="2026-01-31T00:00:00"/>
        <d v="2026-02-28T00:00:00"/>
        <d v="2026-03-31T00:00:00"/>
      </sharedItems>
    </cacheField>
    <cacheField name="Account Name" numFmtId="0">
      <sharedItems/>
    </cacheField>
    <cacheField name="Account Type" numFmtId="0">
      <sharedItems/>
    </cacheField>
    <cacheField name="Class" numFmtId="0">
      <sharedItems containsBlank="1"/>
    </cacheField>
    <cacheField name="Amount" numFmtId="164">
      <sharedItems containsSemiMixedTypes="0" containsString="0" containsNumber="1" minValue="-3122.04" maxValue="184380.29"/>
    </cacheField>
    <cacheField name="Acorn Map 1 - Account Group" numFmtId="0">
      <sharedItems containsBlank="1" count="19">
        <s v="Class B"/>
        <s v="Class A"/>
        <s v="Other Income"/>
        <s v="Project Expenses"/>
        <s v="Employee Costs"/>
        <s v="G&amp;A Payroll"/>
        <s v="Professional Fees"/>
        <s v="MT&amp;E"/>
        <s v="Business Development"/>
        <s v="Software"/>
        <s v="Other G&amp;A"/>
        <s v="Continuing Education"/>
        <s v="Site Maintenance"/>
        <s v="Insurance"/>
        <s v="Taxes"/>
        <m u="1"/>
        <s v="Study Expenses" u="1"/>
        <s v="Clinical Affairs" u="1"/>
        <s v="Site Operations" u="1"/>
      </sharedItems>
    </cacheField>
    <cacheField name="Acorn Map 1 - Statement Section" numFmtId="0">
      <sharedItems containsBlank="1" count="4">
        <s v="Revenue"/>
        <s v="COS"/>
        <s v="Operating Expenses"/>
        <m u="1"/>
      </sharedItems>
    </cacheField>
  </cacheFields>
  <extLst>
    <ext xmlns:x14="http://schemas.microsoft.com/office/spreadsheetml/2009/9/main" uri="{725AE2AE-9491-48be-B2B4-4EB974FC3084}">
      <x14:pivotCacheDefinition pivotCacheId="92294954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ris Matheson" refreshedDate="46132.834613425926" createdVersion="8" refreshedVersion="8" minRefreshableVersion="3" recordCount="202" xr:uid="{3E390C4C-4EC8-43CF-BE4B-7C1103875A17}">
  <cacheSource type="worksheet">
    <worksheetSource ref="B5:Q207" sheet="IS GL Detail"/>
  </cacheSource>
  <cacheFields count="16">
    <cacheField name="Date" numFmtId="14">
      <sharedItems containsSemiMixedTypes="0" containsNonDate="0" containsDate="1" containsString="0" minDate="2026-03-01T00:00:00" maxDate="2026-04-01T00:00:00"/>
    </cacheField>
    <cacheField name="Month" numFmtId="14">
      <sharedItems containsSemiMixedTypes="0" containsNonDate="0" containsDate="1" containsString="0" minDate="2026-03-31T00:00:00" maxDate="2026-04-01T00:00:00"/>
    </cacheField>
    <cacheField name="Transaction Type" numFmtId="0">
      <sharedItems/>
    </cacheField>
    <cacheField name="Num" numFmtId="0">
      <sharedItems/>
    </cacheField>
    <cacheField name="Account Name" numFmtId="0">
      <sharedItems/>
    </cacheField>
    <cacheField name="Account Number" numFmtId="1">
      <sharedItems containsSemiMixedTypes="0" containsString="0" containsNumber="1" containsInteger="1" minValue="41000" maxValue="68105"/>
    </cacheField>
    <cacheField name="Account Type" numFmtId="0">
      <sharedItems/>
    </cacheField>
    <cacheField name="Account Subtype" numFmtId="0">
      <sharedItems/>
    </cacheField>
    <cacheField name="Customer/Vendor" numFmtId="0">
      <sharedItems count="52">
        <s v="Class A Direct Labor Cost Detail"/>
        <s v="Class B Direct Labor Cost Detail"/>
        <s v="G&amp;A Payroll Detail"/>
        <s v="IT detail"/>
        <s v="Class A travel meals"/>
        <s v="Business development travel detail"/>
        <s v="Customer 6 detail"/>
        <s v="Customer 4"/>
        <s v="Customer 7 detail"/>
        <s v="Customer 11 detail"/>
        <s v="Customer 12 detail"/>
        <s v="Customer 13 detail"/>
        <s v="HR fees detail"/>
        <s v="Travel detail"/>
        <s v="Vendor 9 detail"/>
        <s v="Business development meal detail"/>
        <s v="Bank fee detail"/>
        <s v="Vendor 11 detail"/>
        <s v="Taxes detail"/>
        <s v="Accounting fee detail"/>
        <s v="Class B direct materials cost A"/>
        <s v="Vendor 12 detail"/>
        <s v="Vendor 13 detail"/>
        <s v="Dues detail"/>
        <s v="Class A Software costs"/>
        <s v="Vendor 14 detail"/>
        <s v="Vendor 15 detail"/>
        <s v="Vendor 16 detail"/>
        <s v="Other business development detail"/>
        <s v="Other detail"/>
        <s v="Class A dues detail"/>
        <s v="Class B direct materials cost B"/>
        <s v="Customer 1"/>
        <s v="Class A Other G&amp;A Detail"/>
        <s v="Vendor 10 detail"/>
        <s v="Customer A income detail" u="1"/>
        <s v="Customer B income detail" u="1"/>
        <s v="Customer C income detail" u="1"/>
        <s v="Insurance vendor 1" u="1"/>
        <s v="Software vendor 1 detail" u="1"/>
        <s v="Software vendor 2 detail" u="1"/>
        <s v="Software vendor 3 detail" u="1"/>
        <s v="Class A supplier 1 costs" u="1"/>
        <s v="Class A supplier 2 costs" u="1"/>
        <s v="Class A supplier 3 costs" u="1"/>
        <s v="Insurance vendor 2" u="1"/>
        <s v="Intentionally left blank for demo" u="1"/>
        <s v="Site management travel meals" u="1"/>
        <s v="Customer 5" u="1"/>
        <s v="Customer 2" u="1"/>
        <s v="Class A travel detail" u="1"/>
        <s v="Customer 3" u="1"/>
      </sharedItems>
    </cacheField>
    <cacheField name="Memo/Description" numFmtId="0">
      <sharedItems/>
    </cacheField>
    <cacheField name="Split Account" numFmtId="0">
      <sharedItems/>
    </cacheField>
    <cacheField name="Amount" numFmtId="164">
      <sharedItems containsSemiMixedTypes="0" containsString="0" containsNumber="1" minValue="-5765.13" maxValue="47754.81"/>
    </cacheField>
    <cacheField name="Running Balance" numFmtId="164">
      <sharedItems containsSemiMixedTypes="0" containsString="0" containsNumber="1" minValue="-450.9" maxValue="319063.63"/>
    </cacheField>
    <cacheField name="Class" numFmtId="0">
      <sharedItems count="3">
        <s v="Class A"/>
        <s v="Class B"/>
        <s v="Company"/>
      </sharedItems>
    </cacheField>
    <cacheField name="Acorn Map 1 - Account Group" numFmtId="0">
      <sharedItems count="15">
        <s v="Employee Costs"/>
        <s v="G&amp;A Payroll"/>
        <s v="Professional Fees"/>
        <s v="Site Maintenance"/>
        <s v="Business Development"/>
        <s v="Class B"/>
        <s v="Class A"/>
        <s v="Insurance"/>
        <s v="Other G&amp;A"/>
        <s v="Software"/>
        <s v="Project Expenses"/>
        <s v="MT&amp;E"/>
        <s v="Clinical Affairs" u="1"/>
        <s v="Site Operations" u="1"/>
        <s v="Study Expenses" u="1"/>
      </sharedItems>
    </cacheField>
    <cacheField name="Acorn Map 1 - Statement Section" numFmtId="0">
      <sharedItems count="3">
        <s v="COS"/>
        <s v="Operating Expenses"/>
        <s v="Revenue"/>
      </sharedItems>
    </cacheField>
  </cacheFields>
  <extLst>
    <ext xmlns:x14="http://schemas.microsoft.com/office/spreadsheetml/2009/9/main" uri="{725AE2AE-9491-48be-B2B4-4EB974FC3084}">
      <x14:pivotCacheDefinition pivotCacheId="210815297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85">
  <r>
    <x v="0"/>
    <s v="41000 Class B Revenue"/>
    <s v="Income"/>
    <s v="Class B"/>
    <n v="43672.06"/>
    <x v="0"/>
    <x v="0"/>
  </r>
  <r>
    <x v="0"/>
    <s v="42000 Class A Revenue"/>
    <s v="Income"/>
    <s v="Class A"/>
    <n v="23065.200000000001"/>
    <x v="1"/>
    <x v="0"/>
  </r>
  <r>
    <x v="0"/>
    <s v="43000 Client 1 Revenue"/>
    <s v="Income"/>
    <s v="Class A"/>
    <n v="13269.74"/>
    <x v="1"/>
    <x v="0"/>
  </r>
  <r>
    <x v="0"/>
    <s v="44000 Consulting"/>
    <s v="Income"/>
    <s v="Class A"/>
    <n v="687.5"/>
    <x v="2"/>
    <x v="0"/>
  </r>
  <r>
    <x v="0"/>
    <s v="51100 Project Expenses - new"/>
    <s v="Cost of Goods Sold"/>
    <s v="Class B"/>
    <n v="1290"/>
    <x v="3"/>
    <x v="1"/>
  </r>
  <r>
    <x v="0"/>
    <s v="51100 Project Expenses - new"/>
    <s v="Cost of Goods Sold"/>
    <s v="Class A"/>
    <n v="7206.54"/>
    <x v="3"/>
    <x v="1"/>
  </r>
  <r>
    <x v="0"/>
    <s v="53100 Salaries &amp; Wages (COS)"/>
    <s v="Cost of Goods Sold"/>
    <s v="Class B"/>
    <n v="18277.310000000001"/>
    <x v="4"/>
    <x v="1"/>
  </r>
  <r>
    <x v="0"/>
    <s v="53100 Salaries &amp; Wages (COS)"/>
    <s v="Cost of Goods Sold"/>
    <s v="Class A"/>
    <n v="53129.91"/>
    <x v="4"/>
    <x v="1"/>
  </r>
  <r>
    <x v="0"/>
    <s v="53200 Employee Benefits - Health"/>
    <s v="Cost of Goods Sold"/>
    <s v="Class A"/>
    <n v="3537.78"/>
    <x v="4"/>
    <x v="1"/>
  </r>
  <r>
    <x v="0"/>
    <s v="53200 Employee Benefits - Health"/>
    <s v="Cost of Goods Sold"/>
    <s v="Class B"/>
    <n v="1217.04"/>
    <x v="4"/>
    <x v="1"/>
  </r>
  <r>
    <x v="0"/>
    <s v="53210 Employee Benefits - Workers Comp Ins"/>
    <s v="Cost of Goods Sold"/>
    <s v="Class B"/>
    <n v="3.89"/>
    <x v="4"/>
    <x v="1"/>
  </r>
  <r>
    <x v="0"/>
    <s v="53210 Employee Benefits - Workers Comp Ins"/>
    <s v="Cost of Goods Sold"/>
    <s v="Class A"/>
    <n v="11.3"/>
    <x v="4"/>
    <x v="1"/>
  </r>
  <r>
    <x v="0"/>
    <s v="53220 Employee Benefits - Retirement Plans"/>
    <s v="Cost of Goods Sold"/>
    <s v="Class B"/>
    <n v="247.1"/>
    <x v="4"/>
    <x v="1"/>
  </r>
  <r>
    <x v="0"/>
    <s v="53220 Employee Benefits - Retirement Plans"/>
    <s v="Cost of Goods Sold"/>
    <s v="Class A"/>
    <n v="718.3"/>
    <x v="4"/>
    <x v="1"/>
  </r>
  <r>
    <x v="0"/>
    <s v="53300 Payroll Expense - Employer Payroll Tax Expense"/>
    <s v="Cost of Goods Sold"/>
    <s v="Class B"/>
    <n v="1925.46"/>
    <x v="4"/>
    <x v="1"/>
  </r>
  <r>
    <x v="0"/>
    <s v="53300 Payroll Expense - Employer Payroll Tax Expense"/>
    <s v="Cost of Goods Sold"/>
    <s v="Class A"/>
    <n v="5597.08"/>
    <x v="4"/>
    <x v="1"/>
  </r>
  <r>
    <x v="0"/>
    <s v="61100 Salaries &amp; Wages"/>
    <s v="Expense"/>
    <s v="Company"/>
    <n v="32055.41"/>
    <x v="5"/>
    <x v="2"/>
  </r>
  <r>
    <x v="0"/>
    <s v="61120 Guaranteed Payments - new"/>
    <s v="Expense"/>
    <s v="Company"/>
    <n v="24486.87"/>
    <x v="5"/>
    <x v="2"/>
  </r>
  <r>
    <x v="0"/>
    <s v="61200 Employee Benefits - Health - new"/>
    <s v="Expense"/>
    <s v="Company"/>
    <n v="2134.4899999999998"/>
    <x v="5"/>
    <x v="2"/>
  </r>
  <r>
    <x v="0"/>
    <s v="61210 Employee Benefits - Workers Comp Ins - new"/>
    <s v="Expense"/>
    <s v="Company"/>
    <n v="6.82"/>
    <x v="5"/>
    <x v="2"/>
  </r>
  <r>
    <x v="0"/>
    <s v="61220 Employee Benefits - Retirement Plans - new"/>
    <s v="Expense"/>
    <s v="Company"/>
    <n v="433.38"/>
    <x v="5"/>
    <x v="2"/>
  </r>
  <r>
    <x v="0"/>
    <s v="61300 Employer Payroll Tax Expense"/>
    <s v="Expense"/>
    <s v="Company"/>
    <n v="3376.94"/>
    <x v="5"/>
    <x v="2"/>
  </r>
  <r>
    <x v="0"/>
    <s v="63110 Legal Services"/>
    <s v="Expense"/>
    <s v="Company"/>
    <n v="100"/>
    <x v="6"/>
    <x v="2"/>
  </r>
  <r>
    <x v="0"/>
    <s v="63120 Accounting Services"/>
    <s v="Expense"/>
    <s v="Company"/>
    <n v="373.31"/>
    <x v="6"/>
    <x v="2"/>
  </r>
  <r>
    <x v="0"/>
    <s v="63400 Human Resources"/>
    <s v="Expense"/>
    <s v="Company"/>
    <n v="1000"/>
    <x v="6"/>
    <x v="2"/>
  </r>
  <r>
    <x v="0"/>
    <s v="64110 Airfare"/>
    <s v="Expense"/>
    <s v="Company"/>
    <n v="911.31"/>
    <x v="7"/>
    <x v="2"/>
  </r>
  <r>
    <x v="0"/>
    <s v="64120 Hotels"/>
    <s v="Expense"/>
    <s v="Company"/>
    <n v="454.92"/>
    <x v="7"/>
    <x v="2"/>
  </r>
  <r>
    <x v="0"/>
    <s v="64130 Ground Transportation"/>
    <s v="Expense"/>
    <s v="Company"/>
    <n v="591.05999999999995"/>
    <x v="7"/>
    <x v="2"/>
  </r>
  <r>
    <x v="0"/>
    <s v="64140 Meals"/>
    <s v="Expense"/>
    <s v="Company"/>
    <n v="176.29"/>
    <x v="7"/>
    <x v="2"/>
  </r>
  <r>
    <x v="0"/>
    <s v="66120 Hotels"/>
    <s v="Expense"/>
    <s v="Company"/>
    <n v="1131.44"/>
    <x v="8"/>
    <x v="2"/>
  </r>
  <r>
    <x v="0"/>
    <s v="66130 Ground Transportation"/>
    <s v="Expense"/>
    <s v="Company"/>
    <n v="12.45"/>
    <x v="8"/>
    <x v="2"/>
  </r>
  <r>
    <x v="0"/>
    <s v="66150 Event Fees"/>
    <s v="Expense"/>
    <s v="Company"/>
    <n v="700"/>
    <x v="8"/>
    <x v="2"/>
  </r>
  <r>
    <x v="0"/>
    <s v="67110 Software &amp; Apps"/>
    <s v="Expense"/>
    <s v="Company"/>
    <n v="677.1"/>
    <x v="9"/>
    <x v="2"/>
  </r>
  <r>
    <x v="0"/>
    <s v="67110 Software &amp; Apps"/>
    <s v="Expense"/>
    <s v="Class A"/>
    <n v="52.7"/>
    <x v="9"/>
    <x v="2"/>
  </r>
  <r>
    <x v="0"/>
    <s v="67112 Bank Fees &amp; Service Charges"/>
    <s v="Expense"/>
    <s v="Company"/>
    <n v="790"/>
    <x v="10"/>
    <x v="2"/>
  </r>
  <r>
    <x v="0"/>
    <s v="67114 Payroll Processing Fees"/>
    <s v="Expense"/>
    <s v="Company"/>
    <n v="556.6"/>
    <x v="10"/>
    <x v="2"/>
  </r>
  <r>
    <x v="0"/>
    <s v="67119 Office Supplies"/>
    <s v="Expense"/>
    <s v="Company"/>
    <n v="342.67"/>
    <x v="10"/>
    <x v="2"/>
  </r>
  <r>
    <x v="0"/>
    <s v="67126 Other G&amp;A"/>
    <s v="Expense"/>
    <s v="Company"/>
    <n v="-260.79000000000002"/>
    <x v="10"/>
    <x v="2"/>
  </r>
  <r>
    <x v="0"/>
    <s v="67440 Education Costs"/>
    <s v="Expense"/>
    <s v="Company"/>
    <n v="299"/>
    <x v="11"/>
    <x v="2"/>
  </r>
  <r>
    <x v="1"/>
    <s v="41000 Class B Revenue"/>
    <s v="Income"/>
    <s v="Class B"/>
    <n v="79597.850000000006"/>
    <x v="0"/>
    <x v="0"/>
  </r>
  <r>
    <x v="1"/>
    <s v="42000 Class A Revenue"/>
    <s v="Income"/>
    <s v="Class A"/>
    <n v="74709.81"/>
    <x v="1"/>
    <x v="0"/>
  </r>
  <r>
    <x v="1"/>
    <s v="43000 Client 1 Revenue"/>
    <s v="Income"/>
    <s v="Class A"/>
    <n v="28142.15"/>
    <x v="1"/>
    <x v="0"/>
  </r>
  <r>
    <x v="1"/>
    <s v="44000 Consulting"/>
    <s v="Income"/>
    <s v="Class A"/>
    <n v="1530"/>
    <x v="2"/>
    <x v="0"/>
  </r>
  <r>
    <x v="1"/>
    <s v="51100 Project Expenses - new"/>
    <s v="Cost of Goods Sold"/>
    <s v="Class B"/>
    <n v="12070"/>
    <x v="3"/>
    <x v="1"/>
  </r>
  <r>
    <x v="1"/>
    <s v="51100 Project Expenses - new"/>
    <s v="Cost of Goods Sold"/>
    <s v="Class A"/>
    <n v="13078.82"/>
    <x v="3"/>
    <x v="1"/>
  </r>
  <r>
    <x v="1"/>
    <s v="53100 Salaries &amp; Wages (COS)"/>
    <s v="Cost of Goods Sold"/>
    <s v="Class A"/>
    <n v="36976.94"/>
    <x v="4"/>
    <x v="1"/>
  </r>
  <r>
    <x v="1"/>
    <s v="53100 Salaries &amp; Wages (COS)"/>
    <s v="Cost of Goods Sold"/>
    <s v="Class B"/>
    <n v="12720.5"/>
    <x v="4"/>
    <x v="1"/>
  </r>
  <r>
    <x v="1"/>
    <s v="53200 Employee Benefits - Health"/>
    <s v="Cost of Goods Sold"/>
    <s v="Class A"/>
    <n v="10454.02"/>
    <x v="4"/>
    <x v="1"/>
  </r>
  <r>
    <x v="1"/>
    <s v="53200 Employee Benefits - Health"/>
    <s v="Cost of Goods Sold"/>
    <s v="Class B"/>
    <n v="3596.3"/>
    <x v="4"/>
    <x v="1"/>
  </r>
  <r>
    <x v="1"/>
    <s v="53300 Payroll Expense - Employer Payroll Tax Expense"/>
    <s v="Cost of Goods Sold"/>
    <s v="Class B"/>
    <n v="1161.68"/>
    <x v="4"/>
    <x v="1"/>
  </r>
  <r>
    <x v="1"/>
    <s v="53300 Payroll Expense - Employer Payroll Tax Expense"/>
    <s v="Cost of Goods Sold"/>
    <s v="Class A"/>
    <n v="3376.86"/>
    <x v="4"/>
    <x v="1"/>
  </r>
  <r>
    <x v="1"/>
    <s v="61100 Salaries &amp; Wages"/>
    <s v="Expense"/>
    <s v="Company"/>
    <n v="22309.67"/>
    <x v="5"/>
    <x v="2"/>
  </r>
  <r>
    <x v="1"/>
    <s v="61120 Guaranteed Payments - new"/>
    <s v="Expense"/>
    <s v="Company"/>
    <n v="16324.58"/>
    <x v="5"/>
    <x v="2"/>
  </r>
  <r>
    <x v="1"/>
    <s v="61200 Employee Benefits - Health - new"/>
    <s v="Expense"/>
    <s v="Company"/>
    <n v="6307.34"/>
    <x v="5"/>
    <x v="2"/>
  </r>
  <r>
    <x v="1"/>
    <s v="61300 Employer Payroll Tax Expense"/>
    <s v="Expense"/>
    <s v="Company"/>
    <n v="2037.4"/>
    <x v="5"/>
    <x v="2"/>
  </r>
  <r>
    <x v="1"/>
    <s v="63110 Legal Services"/>
    <s v="Expense"/>
    <s v="Company"/>
    <n v="215.63"/>
    <x v="6"/>
    <x v="2"/>
  </r>
  <r>
    <x v="1"/>
    <s v="63120 Accounting Services"/>
    <s v="Expense"/>
    <s v="Company"/>
    <n v="1575.23"/>
    <x v="6"/>
    <x v="2"/>
  </r>
  <r>
    <x v="1"/>
    <s v="63400 Human Resources"/>
    <s v="Expense"/>
    <s v="Company"/>
    <n v="2375"/>
    <x v="6"/>
    <x v="2"/>
  </r>
  <r>
    <x v="1"/>
    <s v="64110 Airfare"/>
    <s v="Expense"/>
    <s v="Company"/>
    <n v="2142.1799999999998"/>
    <x v="7"/>
    <x v="2"/>
  </r>
  <r>
    <x v="1"/>
    <s v="64120 Hotels"/>
    <s v="Expense"/>
    <s v="Company"/>
    <n v="1056.8900000000001"/>
    <x v="7"/>
    <x v="2"/>
  </r>
  <r>
    <x v="1"/>
    <s v="64130 Ground Transportation"/>
    <s v="Expense"/>
    <s v="Company"/>
    <n v="284.58999999999997"/>
    <x v="7"/>
    <x v="2"/>
  </r>
  <r>
    <x v="1"/>
    <s v="64140 Meals"/>
    <s v="Expense"/>
    <s v="Company"/>
    <n v="124.61"/>
    <x v="7"/>
    <x v="2"/>
  </r>
  <r>
    <x v="1"/>
    <s v="66110 Airfare"/>
    <s v="Expense"/>
    <s v="Company"/>
    <n v="459.83"/>
    <x v="8"/>
    <x v="2"/>
  </r>
  <r>
    <x v="1"/>
    <s v="66120 Hotels"/>
    <s v="Expense"/>
    <s v="Company"/>
    <n v="1021.52"/>
    <x v="8"/>
    <x v="2"/>
  </r>
  <r>
    <x v="1"/>
    <s v="66130 Ground Transportation"/>
    <s v="Expense"/>
    <s v="Company"/>
    <n v="93.39"/>
    <x v="8"/>
    <x v="2"/>
  </r>
  <r>
    <x v="1"/>
    <s v="66150 Event Fees"/>
    <s v="Expense"/>
    <s v="Company"/>
    <n v="595"/>
    <x v="8"/>
    <x v="2"/>
  </r>
  <r>
    <x v="1"/>
    <s v="67110 Software &amp; Apps"/>
    <s v="Expense"/>
    <s v="Company"/>
    <n v="11.48"/>
    <x v="9"/>
    <x v="2"/>
  </r>
  <r>
    <x v="1"/>
    <s v="67110 Software &amp; Apps"/>
    <s v="Expense"/>
    <s v="Class A"/>
    <n v="343.75"/>
    <x v="9"/>
    <x v="2"/>
  </r>
  <r>
    <x v="1"/>
    <s v="67112 Bank Fees &amp; Service Charges"/>
    <s v="Expense"/>
    <s v="Company"/>
    <n v="39.99"/>
    <x v="10"/>
    <x v="2"/>
  </r>
  <r>
    <x v="1"/>
    <s v="67114 Payroll Processing Fees"/>
    <s v="Expense"/>
    <s v="Company"/>
    <n v="495"/>
    <x v="10"/>
    <x v="2"/>
  </r>
  <r>
    <x v="1"/>
    <s v="67117 Memberships Dues"/>
    <s v="Expense"/>
    <s v="Company"/>
    <n v="195"/>
    <x v="10"/>
    <x v="2"/>
  </r>
  <r>
    <x v="1"/>
    <s v="67119 Office Supplies"/>
    <s v="Expense"/>
    <s v="Company"/>
    <n v="8.65"/>
    <x v="10"/>
    <x v="2"/>
  </r>
  <r>
    <x v="1"/>
    <s v="67126 Other G&amp;A"/>
    <s v="Expense"/>
    <s v="Company"/>
    <n v="29.23"/>
    <x v="10"/>
    <x v="2"/>
  </r>
  <r>
    <x v="1"/>
    <s v="67440 Education Costs"/>
    <s v="Expense"/>
    <s v="Company"/>
    <n v="450"/>
    <x v="11"/>
    <x v="2"/>
  </r>
  <r>
    <x v="2"/>
    <s v="41000 Class B Revenue"/>
    <s v="Income"/>
    <s v="Class B"/>
    <n v="122069.46"/>
    <x v="0"/>
    <x v="0"/>
  </r>
  <r>
    <x v="2"/>
    <s v="42000 Class A Revenue"/>
    <s v="Income"/>
    <s v="Class A"/>
    <n v="56914.94"/>
    <x v="1"/>
    <x v="0"/>
  </r>
  <r>
    <x v="2"/>
    <s v="43000 Client 1 Revenue"/>
    <s v="Income"/>
    <s v="Class A"/>
    <n v="20151.900000000001"/>
    <x v="1"/>
    <x v="0"/>
  </r>
  <r>
    <x v="2"/>
    <s v="51100 Project Expenses - new"/>
    <s v="Cost of Goods Sold"/>
    <s v="Class B"/>
    <n v="7420.41"/>
    <x v="3"/>
    <x v="1"/>
  </r>
  <r>
    <x v="2"/>
    <s v="51100 Project Expenses - new"/>
    <s v="Cost of Goods Sold"/>
    <s v="Class A"/>
    <n v="2684.66"/>
    <x v="3"/>
    <x v="1"/>
  </r>
  <r>
    <x v="2"/>
    <s v="53100 Salaries &amp; Wages (COS)"/>
    <s v="Cost of Goods Sold"/>
    <s v="Class A"/>
    <n v="36894.879999999997"/>
    <x v="4"/>
    <x v="1"/>
  </r>
  <r>
    <x v="2"/>
    <s v="53100 Salaries &amp; Wages (COS)"/>
    <s v="Cost of Goods Sold"/>
    <s v="Class B"/>
    <n v="12692.27"/>
    <x v="4"/>
    <x v="1"/>
  </r>
  <r>
    <x v="2"/>
    <s v="53200 Employee Benefits - Health"/>
    <s v="Cost of Goods Sold"/>
    <s v="Class A"/>
    <n v="7471.57"/>
    <x v="4"/>
    <x v="1"/>
  </r>
  <r>
    <x v="2"/>
    <s v="53200 Employee Benefits - Health"/>
    <s v="Cost of Goods Sold"/>
    <s v="Class B"/>
    <n v="2570.31"/>
    <x v="4"/>
    <x v="1"/>
  </r>
  <r>
    <x v="2"/>
    <s v="53300 Payroll Expense - Employer Payroll Tax Expense"/>
    <s v="Cost of Goods Sold"/>
    <s v="Class B"/>
    <n v="1101.07"/>
    <x v="4"/>
    <x v="1"/>
  </r>
  <r>
    <x v="2"/>
    <s v="53300 Payroll Expense - Employer Payroll Tax Expense"/>
    <s v="Cost of Goods Sold"/>
    <s v="Class A"/>
    <n v="3200.69"/>
    <x v="4"/>
    <x v="1"/>
  </r>
  <r>
    <x v="2"/>
    <s v="61100 Salaries &amp; Wages"/>
    <s v="Expense"/>
    <s v="Company"/>
    <n v="22260.16"/>
    <x v="5"/>
    <x v="2"/>
  </r>
  <r>
    <x v="2"/>
    <s v="61120 Guaranteed Payments - new"/>
    <s v="Expense"/>
    <s v="Company"/>
    <n v="16324.57"/>
    <x v="5"/>
    <x v="2"/>
  </r>
  <r>
    <x v="2"/>
    <s v="61200 Employee Benefits - Health - new"/>
    <s v="Expense"/>
    <s v="Company"/>
    <n v="4507.8999999999996"/>
    <x v="5"/>
    <x v="2"/>
  </r>
  <r>
    <x v="2"/>
    <s v="61300 Employer Payroll Tax Expense"/>
    <s v="Expense"/>
    <s v="Company"/>
    <n v="1931.1"/>
    <x v="5"/>
    <x v="2"/>
  </r>
  <r>
    <x v="2"/>
    <s v="63120 Accounting Services"/>
    <s v="Expense"/>
    <s v="Company"/>
    <n v="250"/>
    <x v="6"/>
    <x v="2"/>
  </r>
  <r>
    <x v="2"/>
    <s v="63200 Employee Recruiting"/>
    <s v="Expense"/>
    <s v="Company"/>
    <n v="298.72000000000003"/>
    <x v="6"/>
    <x v="2"/>
  </r>
  <r>
    <x v="2"/>
    <s v="63400 Human Resources"/>
    <s v="Expense"/>
    <s v="Company"/>
    <n v="1593.75"/>
    <x v="6"/>
    <x v="2"/>
  </r>
  <r>
    <x v="2"/>
    <s v="64110 Airfare"/>
    <s v="Expense"/>
    <s v="Company"/>
    <n v="526.62"/>
    <x v="7"/>
    <x v="2"/>
  </r>
  <r>
    <x v="2"/>
    <s v="64130 Ground Transportation"/>
    <s v="Expense"/>
    <s v="Company"/>
    <n v="1358.77"/>
    <x v="7"/>
    <x v="2"/>
  </r>
  <r>
    <x v="2"/>
    <s v="66110 Airfare"/>
    <s v="Expense"/>
    <s v="Company"/>
    <n v="484.96"/>
    <x v="8"/>
    <x v="2"/>
  </r>
  <r>
    <x v="2"/>
    <s v="66140 Meals"/>
    <s v="Expense"/>
    <s v="Company"/>
    <n v="454.86"/>
    <x v="8"/>
    <x v="2"/>
  </r>
  <r>
    <x v="2"/>
    <s v="67110 Software &amp; Apps"/>
    <s v="Expense"/>
    <s v="Company"/>
    <n v="5265.78"/>
    <x v="9"/>
    <x v="2"/>
  </r>
  <r>
    <x v="2"/>
    <s v="67110 Software &amp; Apps"/>
    <s v="Expense"/>
    <s v="Class A"/>
    <n v="366.67"/>
    <x v="9"/>
    <x v="2"/>
  </r>
  <r>
    <x v="2"/>
    <s v="67112 Bank Fees &amp; Service Charges"/>
    <s v="Expense"/>
    <s v="Company"/>
    <n v="27.5"/>
    <x v="10"/>
    <x v="2"/>
  </r>
  <r>
    <x v="2"/>
    <s v="67114 Payroll Processing Fees"/>
    <s v="Expense"/>
    <s v="Company"/>
    <n v="595.04999999999995"/>
    <x v="10"/>
    <x v="2"/>
  </r>
  <r>
    <x v="2"/>
    <s v="67117 Memberships Dues"/>
    <s v="Expense"/>
    <s v="Company"/>
    <n v="180"/>
    <x v="10"/>
    <x v="2"/>
  </r>
  <r>
    <x v="2"/>
    <s v="67119 Office Supplies"/>
    <s v="Expense"/>
    <s v="Company"/>
    <n v="181.35"/>
    <x v="10"/>
    <x v="2"/>
  </r>
  <r>
    <x v="2"/>
    <s v="67124 G&amp;A Phone Expense"/>
    <s v="Expense"/>
    <s v="Company"/>
    <n v="346.68"/>
    <x v="10"/>
    <x v="2"/>
  </r>
  <r>
    <x v="2"/>
    <s v="67126 Other G&amp;A"/>
    <s v="Expense"/>
    <s v="Company"/>
    <n v="23.02"/>
    <x v="10"/>
    <x v="2"/>
  </r>
  <r>
    <x v="3"/>
    <s v="41000 Class B Revenue"/>
    <s v="Income"/>
    <s v="Class B"/>
    <n v="145409.42000000001"/>
    <x v="0"/>
    <x v="0"/>
  </r>
  <r>
    <x v="3"/>
    <s v="42000 Class A Revenue"/>
    <s v="Income"/>
    <s v="Class A"/>
    <n v="9447.98"/>
    <x v="1"/>
    <x v="0"/>
  </r>
  <r>
    <x v="3"/>
    <s v="43000 Client 1 Revenue"/>
    <s v="Income"/>
    <s v="Class A"/>
    <n v="18391.5"/>
    <x v="1"/>
    <x v="0"/>
  </r>
  <r>
    <x v="3"/>
    <s v="44000 Consulting"/>
    <s v="Income"/>
    <s v="Class A"/>
    <n v="3812.5"/>
    <x v="2"/>
    <x v="0"/>
  </r>
  <r>
    <x v="3"/>
    <s v="51100 Project Expenses - new"/>
    <s v="Cost of Goods Sold"/>
    <s v="Class A"/>
    <n v="15716.28"/>
    <x v="3"/>
    <x v="1"/>
  </r>
  <r>
    <x v="3"/>
    <s v="51100 Project Expenses - new"/>
    <s v="Cost of Goods Sold"/>
    <s v="Class B"/>
    <n v="48384.75"/>
    <x v="3"/>
    <x v="1"/>
  </r>
  <r>
    <x v="3"/>
    <s v="53100 Salaries &amp; Wages (COS)"/>
    <s v="Cost of Goods Sold"/>
    <s v="Class B"/>
    <n v="12350.32"/>
    <x v="4"/>
    <x v="1"/>
  </r>
  <r>
    <x v="3"/>
    <s v="53100 Salaries &amp; Wages (COS)"/>
    <s v="Cost of Goods Sold"/>
    <s v="Class A"/>
    <n v="35900.879999999997"/>
    <x v="4"/>
    <x v="1"/>
  </r>
  <r>
    <x v="3"/>
    <s v="53200 Employee Benefits - Health"/>
    <s v="Cost of Goods Sold"/>
    <s v="Class B"/>
    <n v="891.51"/>
    <x v="4"/>
    <x v="1"/>
  </r>
  <r>
    <x v="3"/>
    <s v="53200 Employee Benefits - Health"/>
    <s v="Cost of Goods Sold"/>
    <s v="Class A"/>
    <n v="2591.5100000000002"/>
    <x v="4"/>
    <x v="1"/>
  </r>
  <r>
    <x v="3"/>
    <s v="53220 Employee Benefits - Retirement Plans"/>
    <s v="Cost of Goods Sold"/>
    <s v="Class B"/>
    <n v="242.86"/>
    <x v="4"/>
    <x v="1"/>
  </r>
  <r>
    <x v="3"/>
    <s v="53220 Employee Benefits - Retirement Plans"/>
    <s v="Cost of Goods Sold"/>
    <s v="Class A"/>
    <n v="705.96"/>
    <x v="4"/>
    <x v="1"/>
  </r>
  <r>
    <x v="3"/>
    <s v="53300 Payroll Expense - Employer Payroll Tax Expense"/>
    <s v="Cost of Goods Sold"/>
    <s v="Class A"/>
    <n v="3122.92"/>
    <x v="4"/>
    <x v="1"/>
  </r>
  <r>
    <x v="3"/>
    <s v="53300 Payroll Expense - Employer Payroll Tax Expense"/>
    <s v="Cost of Goods Sold"/>
    <s v="Class B"/>
    <n v="1074.32"/>
    <x v="4"/>
    <x v="1"/>
  </r>
  <r>
    <x v="3"/>
    <s v="61100 Salaries &amp; Wages"/>
    <s v="Expense"/>
    <s v="Company"/>
    <n v="21660.47"/>
    <x v="5"/>
    <x v="2"/>
  </r>
  <r>
    <x v="3"/>
    <s v="61120 Guaranteed Payments - new"/>
    <s v="Expense"/>
    <s v="Company"/>
    <n v="16324.58"/>
    <x v="5"/>
    <x v="2"/>
  </r>
  <r>
    <x v="3"/>
    <s v="61200 Employee Benefits - Health - new"/>
    <s v="Expense"/>
    <s v="Company"/>
    <n v="1563.56"/>
    <x v="5"/>
    <x v="2"/>
  </r>
  <r>
    <x v="3"/>
    <s v="61220 Employee Benefits - Retirement Plans - new"/>
    <s v="Expense"/>
    <s v="Company"/>
    <n v="425.93"/>
    <x v="5"/>
    <x v="2"/>
  </r>
  <r>
    <x v="3"/>
    <s v="61300 Employer Payroll Tax Expense"/>
    <s v="Expense"/>
    <s v="Company"/>
    <n v="1884.18"/>
    <x v="5"/>
    <x v="2"/>
  </r>
  <r>
    <x v="3"/>
    <s v="63120 Accounting Services"/>
    <s v="Expense"/>
    <s v="Company"/>
    <n v="250"/>
    <x v="6"/>
    <x v="2"/>
  </r>
  <r>
    <x v="3"/>
    <s v="63200 Employee Recruiting"/>
    <s v="Expense"/>
    <s v="Company"/>
    <n v="322.35000000000002"/>
    <x v="6"/>
    <x v="2"/>
  </r>
  <r>
    <x v="3"/>
    <s v="63400 Human Resources"/>
    <s v="Expense"/>
    <s v="Company"/>
    <n v="1875"/>
    <x v="6"/>
    <x v="2"/>
  </r>
  <r>
    <x v="3"/>
    <s v="64110 Airfare"/>
    <s v="Expense"/>
    <s v="Company"/>
    <n v="59.95"/>
    <x v="7"/>
    <x v="2"/>
  </r>
  <r>
    <x v="3"/>
    <s v="64120 Hotels"/>
    <s v="Expense"/>
    <s v="Company"/>
    <n v="132.31"/>
    <x v="7"/>
    <x v="2"/>
  </r>
  <r>
    <x v="3"/>
    <s v="64130 Ground Transportation"/>
    <s v="Expense"/>
    <s v="Company"/>
    <n v="118.74"/>
    <x v="7"/>
    <x v="2"/>
  </r>
  <r>
    <x v="3"/>
    <s v="65110 Airfare"/>
    <s v="Expense"/>
    <s v="Class A"/>
    <n v="1444.73"/>
    <x v="12"/>
    <x v="2"/>
  </r>
  <r>
    <x v="3"/>
    <s v="65120 Hotels"/>
    <s v="Expense"/>
    <s v="Class A"/>
    <n v="281"/>
    <x v="12"/>
    <x v="2"/>
  </r>
  <r>
    <x v="3"/>
    <s v="65130 Ground Transportation"/>
    <s v="Expense"/>
    <s v="Class A"/>
    <n v="320.72000000000003"/>
    <x v="12"/>
    <x v="2"/>
  </r>
  <r>
    <x v="3"/>
    <s v="65140 Meals"/>
    <s v="Expense"/>
    <s v="Class A"/>
    <n v="143.26"/>
    <x v="12"/>
    <x v="2"/>
  </r>
  <r>
    <x v="3"/>
    <s v="66130 Ground Transportation"/>
    <s v="Expense"/>
    <s v="Company"/>
    <n v="30.99"/>
    <x v="8"/>
    <x v="2"/>
  </r>
  <r>
    <x v="3"/>
    <s v="66140 Meals"/>
    <s v="Expense"/>
    <s v="Company"/>
    <n v="576.42999999999995"/>
    <x v="8"/>
    <x v="2"/>
  </r>
  <r>
    <x v="3"/>
    <s v="66150 Event Fees"/>
    <s v="Expense"/>
    <s v="Company"/>
    <n v="850"/>
    <x v="8"/>
    <x v="2"/>
  </r>
  <r>
    <x v="3"/>
    <s v="67110 Software &amp; Apps"/>
    <s v="Expense"/>
    <s v="Company"/>
    <n v="106.38"/>
    <x v="9"/>
    <x v="2"/>
  </r>
  <r>
    <x v="3"/>
    <s v="67110 Software &amp; Apps"/>
    <s v="Expense"/>
    <s v="Class A"/>
    <n v="432.14"/>
    <x v="9"/>
    <x v="2"/>
  </r>
  <r>
    <x v="3"/>
    <s v="67112 Bank Fees &amp; Service Charges"/>
    <s v="Expense"/>
    <s v="Company"/>
    <n v="40.15"/>
    <x v="10"/>
    <x v="2"/>
  </r>
  <r>
    <x v="3"/>
    <s v="67114 Payroll Processing Fees"/>
    <s v="Expense"/>
    <s v="Company"/>
    <n v="495"/>
    <x v="10"/>
    <x v="2"/>
  </r>
  <r>
    <x v="3"/>
    <s v="67119 Office Supplies"/>
    <s v="Expense"/>
    <s v="Company"/>
    <n v="199.93"/>
    <x v="10"/>
    <x v="2"/>
  </r>
  <r>
    <x v="3"/>
    <s v="67126 Other G&amp;A"/>
    <s v="Expense"/>
    <s v="Company"/>
    <n v="54.27"/>
    <x v="10"/>
    <x v="2"/>
  </r>
  <r>
    <x v="3"/>
    <s v="67420 Hotels"/>
    <s v="Expense"/>
    <s v="Company"/>
    <n v="1125.69"/>
    <x v="11"/>
    <x v="2"/>
  </r>
  <r>
    <x v="3"/>
    <s v="67430 Ground Transportation"/>
    <s v="Expense"/>
    <s v="Company"/>
    <n v="149.46"/>
    <x v="11"/>
    <x v="2"/>
  </r>
  <r>
    <x v="3"/>
    <s v="67440 Education Costs"/>
    <s v="Expense"/>
    <s v="Company"/>
    <n v="450"/>
    <x v="11"/>
    <x v="2"/>
  </r>
  <r>
    <x v="3"/>
    <s v="67450 Meals"/>
    <s v="Expense"/>
    <s v="Company"/>
    <n v="14.09"/>
    <x v="11"/>
    <x v="2"/>
  </r>
  <r>
    <x v="4"/>
    <s v="41000 Class B Revenue"/>
    <s v="Income"/>
    <s v="Class B"/>
    <n v="122217.81"/>
    <x v="0"/>
    <x v="0"/>
  </r>
  <r>
    <x v="4"/>
    <s v="42000 Class A Revenue"/>
    <s v="Income"/>
    <s v="Class A"/>
    <n v="48095.839999999997"/>
    <x v="1"/>
    <x v="0"/>
  </r>
  <r>
    <x v="4"/>
    <s v="43000 Client 1 Revenue"/>
    <s v="Income"/>
    <s v="Class A"/>
    <n v="13429.98"/>
    <x v="1"/>
    <x v="0"/>
  </r>
  <r>
    <x v="4"/>
    <s v="51100 Project Expenses - new"/>
    <s v="Cost of Goods Sold"/>
    <s v="Class A"/>
    <n v="19149.36"/>
    <x v="3"/>
    <x v="1"/>
  </r>
  <r>
    <x v="4"/>
    <s v="51100 Project Expenses - new"/>
    <s v="Cost of Goods Sold"/>
    <s v="Class B"/>
    <n v="1286.25"/>
    <x v="3"/>
    <x v="1"/>
  </r>
  <r>
    <x v="4"/>
    <s v="53100 Salaries &amp; Wages (COS)"/>
    <s v="Cost of Goods Sold"/>
    <s v="Class B"/>
    <n v="12614.08"/>
    <x v="4"/>
    <x v="1"/>
  </r>
  <r>
    <x v="4"/>
    <s v="53100 Salaries &amp; Wages (COS)"/>
    <s v="Cost of Goods Sold"/>
    <s v="Class A"/>
    <n v="36667.599999999999"/>
    <x v="4"/>
    <x v="1"/>
  </r>
  <r>
    <x v="4"/>
    <s v="53200 Employee Benefits - Health"/>
    <s v="Cost of Goods Sold"/>
    <s v="Class A"/>
    <n v="10383.27"/>
    <x v="4"/>
    <x v="1"/>
  </r>
  <r>
    <x v="4"/>
    <s v="53200 Employee Benefits - Health"/>
    <s v="Cost of Goods Sold"/>
    <s v="Class B"/>
    <n v="3571.98"/>
    <x v="4"/>
    <x v="1"/>
  </r>
  <r>
    <x v="4"/>
    <s v="53300 Payroll Expense - Employer Payroll Tax Expense"/>
    <s v="Cost of Goods Sold"/>
    <s v="Class B"/>
    <n v="1042.26"/>
    <x v="4"/>
    <x v="1"/>
  </r>
  <r>
    <x v="4"/>
    <s v="53300 Payroll Expense - Employer Payroll Tax Expense"/>
    <s v="Cost of Goods Sold"/>
    <s v="Class A"/>
    <n v="3029.73"/>
    <x v="4"/>
    <x v="1"/>
  </r>
  <r>
    <x v="4"/>
    <s v="61100 Salaries &amp; Wages"/>
    <s v="Expense"/>
    <s v="Company"/>
    <n v="22123.03"/>
    <x v="5"/>
    <x v="2"/>
  </r>
  <r>
    <x v="4"/>
    <s v="61120 Guaranteed Payments - new"/>
    <s v="Expense"/>
    <s v="Company"/>
    <n v="16324.59"/>
    <x v="5"/>
    <x v="2"/>
  </r>
  <r>
    <x v="4"/>
    <s v="61200 Employee Benefits - Health - new"/>
    <s v="Expense"/>
    <s v="Company"/>
    <n v="6264.64"/>
    <x v="5"/>
    <x v="2"/>
  </r>
  <r>
    <x v="4"/>
    <s v="61300 Employer Payroll Tax Expense"/>
    <s v="Expense"/>
    <s v="Company"/>
    <n v="1827.96"/>
    <x v="5"/>
    <x v="2"/>
  </r>
  <r>
    <x v="4"/>
    <s v="61520 Employee Uniforms - new"/>
    <s v="Expense"/>
    <s v="Company"/>
    <n v="276.7"/>
    <x v="10"/>
    <x v="2"/>
  </r>
  <r>
    <x v="4"/>
    <s v="63100 Professional Services"/>
    <s v="Expense"/>
    <s v="Company"/>
    <n v="5184.1899999999996"/>
    <x v="6"/>
    <x v="2"/>
  </r>
  <r>
    <x v="4"/>
    <s v="63110 Legal Services"/>
    <s v="Expense"/>
    <s v="Company"/>
    <n v="549.99"/>
    <x v="6"/>
    <x v="2"/>
  </r>
  <r>
    <x v="4"/>
    <s v="63120 Accounting Services"/>
    <s v="Expense"/>
    <s v="Company"/>
    <n v="600"/>
    <x v="6"/>
    <x v="2"/>
  </r>
  <r>
    <x v="4"/>
    <s v="63400 Human Resources"/>
    <s v="Expense"/>
    <s v="Company"/>
    <n v="4000"/>
    <x v="6"/>
    <x v="2"/>
  </r>
  <r>
    <x v="4"/>
    <s v="63500 IT"/>
    <s v="Expense"/>
    <s v="Company"/>
    <n v="3765.5"/>
    <x v="6"/>
    <x v="2"/>
  </r>
  <r>
    <x v="4"/>
    <s v="64110 Airfare"/>
    <s v="Expense"/>
    <s v="Company"/>
    <n v="1717.69"/>
    <x v="7"/>
    <x v="2"/>
  </r>
  <r>
    <x v="4"/>
    <s v="64120 Hotels"/>
    <s v="Expense"/>
    <s v="Company"/>
    <n v="468.68"/>
    <x v="7"/>
    <x v="2"/>
  </r>
  <r>
    <x v="4"/>
    <s v="64130 Ground Transportation"/>
    <s v="Expense"/>
    <s v="Company"/>
    <n v="648.37"/>
    <x v="7"/>
    <x v="2"/>
  </r>
  <r>
    <x v="4"/>
    <s v="64140 Meals"/>
    <s v="Expense"/>
    <s v="Company"/>
    <n v="162.25"/>
    <x v="7"/>
    <x v="2"/>
  </r>
  <r>
    <x v="4"/>
    <s v="65130 Ground Transportation"/>
    <s v="Expense"/>
    <s v="Class A"/>
    <n v="95.35"/>
    <x v="12"/>
    <x v="2"/>
  </r>
  <r>
    <x v="4"/>
    <s v="66110 Airfare"/>
    <s v="Expense"/>
    <s v="Company"/>
    <n v="200.72"/>
    <x v="8"/>
    <x v="2"/>
  </r>
  <r>
    <x v="4"/>
    <s v="66150 Event Fees"/>
    <s v="Expense"/>
    <s v="Company"/>
    <n v="200"/>
    <x v="8"/>
    <x v="2"/>
  </r>
  <r>
    <x v="4"/>
    <s v="67110 Software &amp; Apps"/>
    <s v="Expense"/>
    <s v="Class A"/>
    <n v="1156.05"/>
    <x v="9"/>
    <x v="2"/>
  </r>
  <r>
    <x v="4"/>
    <s v="67110 Software &amp; Apps"/>
    <s v="Expense"/>
    <s v="Company"/>
    <n v="154.58000000000001"/>
    <x v="9"/>
    <x v="2"/>
  </r>
  <r>
    <x v="4"/>
    <s v="67111 Website"/>
    <s v="Expense"/>
    <s v="Company"/>
    <n v="1282.94"/>
    <x v="10"/>
    <x v="2"/>
  </r>
  <r>
    <x v="4"/>
    <s v="67112 Bank Fees &amp; Service Charges"/>
    <s v="Expense"/>
    <s v="Company"/>
    <n v="26.19"/>
    <x v="10"/>
    <x v="2"/>
  </r>
  <r>
    <x v="4"/>
    <s v="67114 Payroll Processing Fees"/>
    <s v="Expense"/>
    <s v="Company"/>
    <n v="534.44000000000005"/>
    <x v="10"/>
    <x v="2"/>
  </r>
  <r>
    <x v="4"/>
    <s v="67117 Memberships Dues"/>
    <s v="Expense"/>
    <s v="Company"/>
    <n v="997"/>
    <x v="10"/>
    <x v="2"/>
  </r>
  <r>
    <x v="4"/>
    <s v="67118 Equipment"/>
    <s v="Expense"/>
    <s v="Company"/>
    <n v="321.73"/>
    <x v="10"/>
    <x v="2"/>
  </r>
  <r>
    <x v="4"/>
    <s v="67119 Office Supplies"/>
    <s v="Expense"/>
    <s v="Company"/>
    <n v="41.23"/>
    <x v="10"/>
    <x v="2"/>
  </r>
  <r>
    <x v="4"/>
    <s v="67121 Shipping &amp; Postage"/>
    <s v="Expense"/>
    <s v="Company"/>
    <n v="45.38"/>
    <x v="10"/>
    <x v="2"/>
  </r>
  <r>
    <x v="4"/>
    <s v="67124 G&amp;A Phone Expense"/>
    <s v="Expense"/>
    <s v="Company"/>
    <n v="232.12"/>
    <x v="10"/>
    <x v="2"/>
  </r>
  <r>
    <x v="4"/>
    <s v="67126 Other G&amp;A"/>
    <s v="Expense"/>
    <s v="Company"/>
    <n v="500.52"/>
    <x v="10"/>
    <x v="2"/>
  </r>
  <r>
    <x v="4"/>
    <s v="67420 Hotels"/>
    <s v="Expense"/>
    <s v="Company"/>
    <n v="643.15"/>
    <x v="11"/>
    <x v="2"/>
  </r>
  <r>
    <x v="4"/>
    <s v="67440 Education Costs"/>
    <s v="Expense"/>
    <s v="Company"/>
    <n v="199"/>
    <x v="11"/>
    <x v="2"/>
  </r>
  <r>
    <x v="5"/>
    <s v="41000 Class B Revenue"/>
    <s v="Income"/>
    <s v="Class B"/>
    <n v="95266.5"/>
    <x v="0"/>
    <x v="0"/>
  </r>
  <r>
    <x v="5"/>
    <s v="42000 Class A Revenue"/>
    <s v="Income"/>
    <s v="Class A"/>
    <n v="86973.96"/>
    <x v="1"/>
    <x v="0"/>
  </r>
  <r>
    <x v="5"/>
    <s v="43000 Client 1 Revenue"/>
    <s v="Income"/>
    <s v="Class A"/>
    <n v="4648.5"/>
    <x v="1"/>
    <x v="0"/>
  </r>
  <r>
    <x v="5"/>
    <s v="51100 Project Expenses - new"/>
    <s v="Cost of Goods Sold"/>
    <s v="Class B"/>
    <n v="1539.59"/>
    <x v="3"/>
    <x v="1"/>
  </r>
  <r>
    <x v="5"/>
    <s v="51100 Project Expenses - new"/>
    <s v="Cost of Goods Sold"/>
    <s v="Class A"/>
    <n v="18107.61"/>
    <x v="3"/>
    <x v="1"/>
  </r>
  <r>
    <x v="5"/>
    <s v="53100 Salaries &amp; Wages (COS)"/>
    <s v="Cost of Goods Sold"/>
    <s v="Class A"/>
    <n v="38277.14"/>
    <x v="4"/>
    <x v="1"/>
  </r>
  <r>
    <x v="5"/>
    <s v="53100 Salaries &amp; Wages (COS)"/>
    <s v="Cost of Goods Sold"/>
    <s v="Class B"/>
    <n v="13167.78"/>
    <x v="4"/>
    <x v="1"/>
  </r>
  <r>
    <x v="5"/>
    <s v="53200 Employee Benefits - Health"/>
    <s v="Cost of Goods Sold"/>
    <s v="Class A"/>
    <n v="6679.89"/>
    <x v="4"/>
    <x v="1"/>
  </r>
  <r>
    <x v="5"/>
    <s v="53200 Employee Benefits - Health"/>
    <s v="Cost of Goods Sold"/>
    <s v="Class B"/>
    <n v="2297.96"/>
    <x v="4"/>
    <x v="1"/>
  </r>
  <r>
    <x v="5"/>
    <s v="53210 Employee Benefits - Workers Comp Ins"/>
    <s v="Cost of Goods Sold"/>
    <s v="Class B"/>
    <n v="37.1"/>
    <x v="4"/>
    <x v="1"/>
  </r>
  <r>
    <x v="5"/>
    <s v="53210 Employee Benefits - Workers Comp Ins"/>
    <s v="Cost of Goods Sold"/>
    <s v="Class A"/>
    <n v="107.84"/>
    <x v="4"/>
    <x v="1"/>
  </r>
  <r>
    <x v="5"/>
    <s v="53300 Payroll Expense - Employer Payroll Tax Expense"/>
    <s v="Cost of Goods Sold"/>
    <s v="Class B"/>
    <n v="827.77"/>
    <x v="4"/>
    <x v="1"/>
  </r>
  <r>
    <x v="5"/>
    <s v="53300 Payroll Expense - Employer Payroll Tax Expense"/>
    <s v="Cost of Goods Sold"/>
    <s v="Class A"/>
    <n v="2406.23"/>
    <x v="4"/>
    <x v="1"/>
  </r>
  <r>
    <x v="5"/>
    <s v="61100 Salaries &amp; Wages"/>
    <s v="Expense"/>
    <s v="Company"/>
    <n v="23094.13"/>
    <x v="5"/>
    <x v="2"/>
  </r>
  <r>
    <x v="5"/>
    <s v="61120 Guaranteed Payments - new"/>
    <s v="Expense"/>
    <s v="Company"/>
    <n v="16324.57"/>
    <x v="5"/>
    <x v="2"/>
  </r>
  <r>
    <x v="5"/>
    <s v="61200 Employee Benefits - Health - new"/>
    <s v="Expense"/>
    <s v="Company"/>
    <n v="4030.25"/>
    <x v="5"/>
    <x v="2"/>
  </r>
  <r>
    <x v="5"/>
    <s v="61210 Employee Benefits - Workers Comp Ins - new"/>
    <s v="Expense"/>
    <s v="Company"/>
    <n v="65.06"/>
    <x v="5"/>
    <x v="2"/>
  </r>
  <r>
    <x v="5"/>
    <s v="61300 Employer Payroll Tax Expense"/>
    <s v="Expense"/>
    <s v="Company"/>
    <n v="1451.78"/>
    <x v="5"/>
    <x v="2"/>
  </r>
  <r>
    <x v="5"/>
    <s v="63100 Professional Services"/>
    <s v="Expense"/>
    <s v="Company"/>
    <n v="4000"/>
    <x v="6"/>
    <x v="2"/>
  </r>
  <r>
    <x v="5"/>
    <s v="63120 Accounting Services"/>
    <s v="Expense"/>
    <s v="Company"/>
    <n v="1950"/>
    <x v="6"/>
    <x v="2"/>
  </r>
  <r>
    <x v="5"/>
    <s v="63500 IT"/>
    <s v="Expense"/>
    <s v="Company"/>
    <n v="2333.5300000000002"/>
    <x v="6"/>
    <x v="2"/>
  </r>
  <r>
    <x v="5"/>
    <s v="63700 Marketing"/>
    <s v="Expense"/>
    <s v="Company"/>
    <n v="1500"/>
    <x v="6"/>
    <x v="2"/>
  </r>
  <r>
    <x v="5"/>
    <s v="64110 Airfare"/>
    <s v="Expense"/>
    <s v="Company"/>
    <n v="59.95"/>
    <x v="7"/>
    <x v="2"/>
  </r>
  <r>
    <x v="5"/>
    <s v="64120 Hotels"/>
    <s v="Expense"/>
    <s v="Company"/>
    <n v="-150.65"/>
    <x v="7"/>
    <x v="2"/>
  </r>
  <r>
    <x v="5"/>
    <s v="66110 Airfare"/>
    <s v="Expense"/>
    <s v="Company"/>
    <n v="4124.99"/>
    <x v="8"/>
    <x v="2"/>
  </r>
  <r>
    <x v="5"/>
    <s v="66120 Hotels"/>
    <s v="Expense"/>
    <s v="Company"/>
    <n v="206.38"/>
    <x v="8"/>
    <x v="2"/>
  </r>
  <r>
    <x v="5"/>
    <s v="66130 Ground Transportation"/>
    <s v="Expense"/>
    <s v="Company"/>
    <n v="610.74"/>
    <x v="8"/>
    <x v="2"/>
  </r>
  <r>
    <x v="5"/>
    <s v="66140 Meals"/>
    <s v="Expense"/>
    <s v="Company"/>
    <n v="206.02"/>
    <x v="8"/>
    <x v="2"/>
  </r>
  <r>
    <x v="5"/>
    <s v="66150 Event Fees"/>
    <s v="Expense"/>
    <s v="Company"/>
    <n v="3590.62"/>
    <x v="8"/>
    <x v="2"/>
  </r>
  <r>
    <x v="5"/>
    <s v="67110 Software &amp; Apps"/>
    <s v="Expense"/>
    <s v="Class A"/>
    <n v="-126.92"/>
    <x v="9"/>
    <x v="2"/>
  </r>
  <r>
    <x v="5"/>
    <s v="67110 Software &amp; Apps"/>
    <s v="Expense"/>
    <s v="Company"/>
    <n v="1013.58"/>
    <x v="9"/>
    <x v="2"/>
  </r>
  <r>
    <x v="5"/>
    <s v="67112 Bank Fees &amp; Service Charges"/>
    <s v="Expense"/>
    <s v="Company"/>
    <n v="10.45"/>
    <x v="10"/>
    <x v="2"/>
  </r>
  <r>
    <x v="5"/>
    <s v="67114 Payroll Processing Fees"/>
    <s v="Expense"/>
    <s v="Company"/>
    <n v="450"/>
    <x v="10"/>
    <x v="2"/>
  </r>
  <r>
    <x v="5"/>
    <s v="67119 Office Supplies"/>
    <s v="Expense"/>
    <s v="Company"/>
    <n v="54.8"/>
    <x v="10"/>
    <x v="2"/>
  </r>
  <r>
    <x v="5"/>
    <s v="67121 Shipping &amp; Postage"/>
    <s v="Expense"/>
    <s v="Company"/>
    <n v="425.7"/>
    <x v="10"/>
    <x v="2"/>
  </r>
  <r>
    <x v="5"/>
    <s v="67123 Background Checks"/>
    <s v="Expense"/>
    <s v="Company"/>
    <n v="25"/>
    <x v="10"/>
    <x v="2"/>
  </r>
  <r>
    <x v="5"/>
    <s v="67125 Licenses"/>
    <s v="Expense"/>
    <s v="Company"/>
    <n v="299"/>
    <x v="10"/>
    <x v="2"/>
  </r>
  <r>
    <x v="5"/>
    <s v="67126 Other G&amp;A"/>
    <s v="Expense"/>
    <s v="Company"/>
    <n v="16.03"/>
    <x v="10"/>
    <x v="2"/>
  </r>
  <r>
    <x v="5"/>
    <s v="67240 Cyber Insurance - new"/>
    <s v="Expense"/>
    <s v="Company"/>
    <n v="755.75"/>
    <x v="13"/>
    <x v="2"/>
  </r>
  <r>
    <x v="6"/>
    <s v="41000 Class B Revenue"/>
    <s v="Income"/>
    <s v="Class B"/>
    <n v="60342.11"/>
    <x v="0"/>
    <x v="0"/>
  </r>
  <r>
    <x v="6"/>
    <s v="42000 Class A Revenue"/>
    <s v="Income"/>
    <s v="Class A"/>
    <n v="20071.97"/>
    <x v="1"/>
    <x v="0"/>
  </r>
  <r>
    <x v="6"/>
    <s v="43000 Client 1 Revenue"/>
    <s v="Income"/>
    <s v="Class A"/>
    <n v="13702.14"/>
    <x v="1"/>
    <x v="0"/>
  </r>
  <r>
    <x v="6"/>
    <s v="51100 Project Expenses - new"/>
    <s v="Cost of Goods Sold"/>
    <s v="Class A"/>
    <n v="36251.81"/>
    <x v="3"/>
    <x v="1"/>
  </r>
  <r>
    <x v="6"/>
    <s v="51100 Project Expenses - new"/>
    <s v="Cost of Goods Sold"/>
    <s v="Class B"/>
    <n v="44872"/>
    <x v="3"/>
    <x v="1"/>
  </r>
  <r>
    <x v="6"/>
    <s v="53100 Salaries &amp; Wages (COS)"/>
    <s v="Cost of Goods Sold"/>
    <s v="Class A"/>
    <n v="34991.72"/>
    <x v="4"/>
    <x v="1"/>
  </r>
  <r>
    <x v="6"/>
    <s v="53100 Salaries &amp; Wages (COS)"/>
    <s v="Cost of Goods Sold"/>
    <s v="Class B"/>
    <n v="12037.56"/>
    <x v="4"/>
    <x v="1"/>
  </r>
  <r>
    <x v="6"/>
    <s v="53200 Employee Benefits - Health"/>
    <s v="Cost of Goods Sold"/>
    <s v="Class A"/>
    <n v="6963.73"/>
    <x v="4"/>
    <x v="1"/>
  </r>
  <r>
    <x v="6"/>
    <s v="53200 Employee Benefits - Health"/>
    <s v="Cost of Goods Sold"/>
    <s v="Class B"/>
    <n v="2395.6"/>
    <x v="4"/>
    <x v="1"/>
  </r>
  <r>
    <x v="6"/>
    <s v="53220 Employee Benefits - Retirement Plans"/>
    <s v="Cost of Goods Sold"/>
    <s v="Class A"/>
    <n v="854.12"/>
    <x v="4"/>
    <x v="1"/>
  </r>
  <r>
    <x v="6"/>
    <s v="53220 Employee Benefits - Retirement Plans"/>
    <s v="Cost of Goods Sold"/>
    <s v="Class B"/>
    <n v="293.83"/>
    <x v="4"/>
    <x v="1"/>
  </r>
  <r>
    <x v="6"/>
    <s v="53300 Payroll Expense - Employer Payroll Tax Expense"/>
    <s v="Cost of Goods Sold"/>
    <s v="Class B"/>
    <n v="971.33"/>
    <x v="4"/>
    <x v="1"/>
  </r>
  <r>
    <x v="6"/>
    <s v="53300 Payroll Expense - Employer Payroll Tax Expense"/>
    <s v="Cost of Goods Sold"/>
    <s v="Class A"/>
    <n v="2823.54"/>
    <x v="4"/>
    <x v="1"/>
  </r>
  <r>
    <x v="6"/>
    <s v="61100 Salaries &amp; Wages"/>
    <s v="Expense"/>
    <s v="Company"/>
    <n v="21111.91"/>
    <x v="5"/>
    <x v="2"/>
  </r>
  <r>
    <x v="6"/>
    <s v="61120 Guaranteed Payments - new"/>
    <s v="Expense"/>
    <s v="Company"/>
    <n v="16324.58"/>
    <x v="5"/>
    <x v="2"/>
  </r>
  <r>
    <x v="6"/>
    <s v="61200 Employee Benefits - Health - new"/>
    <s v="Expense"/>
    <s v="Company"/>
    <n v="4201.5"/>
    <x v="5"/>
    <x v="2"/>
  </r>
  <r>
    <x v="6"/>
    <s v="61220 Employee Benefits - Retirement Plans - new"/>
    <s v="Expense"/>
    <s v="Company"/>
    <n v="515.33000000000004"/>
    <x v="5"/>
    <x v="2"/>
  </r>
  <r>
    <x v="6"/>
    <s v="61300 Employer Payroll Tax Expense"/>
    <s v="Expense"/>
    <s v="Company"/>
    <n v="1703.55"/>
    <x v="5"/>
    <x v="2"/>
  </r>
  <r>
    <x v="6"/>
    <s v="63100 Professional Services"/>
    <s v="Expense"/>
    <s v="Company"/>
    <n v="2478.31"/>
    <x v="6"/>
    <x v="2"/>
  </r>
  <r>
    <x v="6"/>
    <s v="63120 Accounting Services"/>
    <s v="Expense"/>
    <s v="Company"/>
    <n v="5800"/>
    <x v="6"/>
    <x v="2"/>
  </r>
  <r>
    <x v="6"/>
    <s v="63400 Human Resources"/>
    <s v="Expense"/>
    <s v="Company"/>
    <n v="2773.41"/>
    <x v="6"/>
    <x v="2"/>
  </r>
  <r>
    <x v="6"/>
    <s v="63500 IT"/>
    <s v="Expense"/>
    <s v="Company"/>
    <n v="7080.73"/>
    <x v="6"/>
    <x v="2"/>
  </r>
  <r>
    <x v="6"/>
    <s v="64110 Airfare"/>
    <s v="Expense"/>
    <s v="Company"/>
    <n v="59.95"/>
    <x v="7"/>
    <x v="2"/>
  </r>
  <r>
    <x v="6"/>
    <s v="65110 Airfare"/>
    <s v="Expense"/>
    <s v="Class A"/>
    <n v="507.96"/>
    <x v="12"/>
    <x v="2"/>
  </r>
  <r>
    <x v="6"/>
    <s v="65120 Hotels"/>
    <s v="Expense"/>
    <s v="Class A"/>
    <n v="367.47"/>
    <x v="12"/>
    <x v="2"/>
  </r>
  <r>
    <x v="6"/>
    <s v="65130 Ground Transportation"/>
    <s v="Expense"/>
    <s v="Class A"/>
    <n v="366.03"/>
    <x v="12"/>
    <x v="2"/>
  </r>
  <r>
    <x v="6"/>
    <s v="65140 Meals"/>
    <s v="Expense"/>
    <s v="Class A"/>
    <n v="53.46"/>
    <x v="12"/>
    <x v="2"/>
  </r>
  <r>
    <x v="6"/>
    <s v="66120 Hotels"/>
    <s v="Expense"/>
    <s v="Company"/>
    <n v="2696.3"/>
    <x v="8"/>
    <x v="2"/>
  </r>
  <r>
    <x v="6"/>
    <s v="66130 Ground Transportation"/>
    <s v="Expense"/>
    <s v="Company"/>
    <n v="395.44"/>
    <x v="8"/>
    <x v="2"/>
  </r>
  <r>
    <x v="6"/>
    <s v="66140 Meals"/>
    <s v="Expense"/>
    <s v="Company"/>
    <n v="142.99"/>
    <x v="8"/>
    <x v="2"/>
  </r>
  <r>
    <x v="6"/>
    <s v="66160 Other"/>
    <s v="Expense"/>
    <s v="Company"/>
    <n v="32.92"/>
    <x v="8"/>
    <x v="2"/>
  </r>
  <r>
    <x v="6"/>
    <s v="67110 Software &amp; Apps"/>
    <s v="Expense"/>
    <s v="Company"/>
    <n v="1087.8399999999999"/>
    <x v="9"/>
    <x v="2"/>
  </r>
  <r>
    <x v="6"/>
    <s v="67110 Software &amp; Apps"/>
    <s v="Expense"/>
    <s v="Class A"/>
    <n v="1973.08"/>
    <x v="9"/>
    <x v="2"/>
  </r>
  <r>
    <x v="6"/>
    <s v="67112 Bank Fees &amp; Service Charges"/>
    <s v="Expense"/>
    <s v="Company"/>
    <n v="230.3"/>
    <x v="10"/>
    <x v="2"/>
  </r>
  <r>
    <x v="6"/>
    <s v="67114 Payroll Processing Fees"/>
    <s v="Expense"/>
    <s v="Company"/>
    <n v="560"/>
    <x v="10"/>
    <x v="2"/>
  </r>
  <r>
    <x v="6"/>
    <s v="67119 Office Supplies"/>
    <s v="Expense"/>
    <s v="Company"/>
    <n v="22.73"/>
    <x v="10"/>
    <x v="2"/>
  </r>
  <r>
    <x v="6"/>
    <s v="67126 Other G&amp;A"/>
    <s v="Expense"/>
    <s v="Company"/>
    <n v="37.97"/>
    <x v="10"/>
    <x v="2"/>
  </r>
  <r>
    <x v="7"/>
    <s v="41000 Class B Revenue"/>
    <s v="Income"/>
    <s v="Class B"/>
    <n v="110848.92"/>
    <x v="0"/>
    <x v="0"/>
  </r>
  <r>
    <x v="7"/>
    <s v="41000 Class B Revenue"/>
    <s v="Income"/>
    <m/>
    <n v="-120"/>
    <x v="0"/>
    <x v="0"/>
  </r>
  <r>
    <x v="7"/>
    <s v="42000 Class A Revenue"/>
    <s v="Income"/>
    <s v="Class A"/>
    <n v="26621.68"/>
    <x v="1"/>
    <x v="0"/>
  </r>
  <r>
    <x v="7"/>
    <s v="43000 Client 1 Revenue"/>
    <s v="Income"/>
    <s v="Class A"/>
    <n v="29230.2"/>
    <x v="1"/>
    <x v="0"/>
  </r>
  <r>
    <x v="7"/>
    <s v="51100 Project Expenses - new"/>
    <s v="Cost of Goods Sold"/>
    <s v="Class B"/>
    <n v="3900"/>
    <x v="3"/>
    <x v="1"/>
  </r>
  <r>
    <x v="7"/>
    <s v="51100 Project Expenses - new"/>
    <s v="Cost of Goods Sold"/>
    <s v="Class A"/>
    <n v="1293"/>
    <x v="3"/>
    <x v="1"/>
  </r>
  <r>
    <x v="7"/>
    <s v="53100 Salaries &amp; Wages (COS)"/>
    <s v="Cost of Goods Sold"/>
    <s v="Class B"/>
    <n v="18607.96"/>
    <x v="4"/>
    <x v="1"/>
  </r>
  <r>
    <x v="7"/>
    <s v="53100 Salaries &amp; Wages (COS)"/>
    <s v="Cost of Goods Sold"/>
    <s v="Class A"/>
    <n v="54091.06"/>
    <x v="4"/>
    <x v="1"/>
  </r>
  <r>
    <x v="7"/>
    <s v="53200 Employee Benefits - Health"/>
    <s v="Cost of Goods Sold"/>
    <s v="Class B"/>
    <n v="1285.54"/>
    <x v="4"/>
    <x v="1"/>
  </r>
  <r>
    <x v="7"/>
    <s v="53200 Employee Benefits - Health"/>
    <s v="Cost of Goods Sold"/>
    <s v="Class A"/>
    <n v="3736.93"/>
    <x v="4"/>
    <x v="1"/>
  </r>
  <r>
    <x v="7"/>
    <s v="53300 Payroll Expense - Employer Payroll Tax Expense"/>
    <s v="Cost of Goods Sold"/>
    <s v="Class B"/>
    <n v="-1074.02"/>
    <x v="4"/>
    <x v="1"/>
  </r>
  <r>
    <x v="7"/>
    <s v="53300 Payroll Expense - Employer Payroll Tax Expense"/>
    <s v="Cost of Goods Sold"/>
    <s v="Class A"/>
    <n v="-3122.04"/>
    <x v="4"/>
    <x v="1"/>
  </r>
  <r>
    <x v="7"/>
    <s v="61100 Salaries &amp; Wages"/>
    <s v="Expense"/>
    <s v="Company"/>
    <n v="32635.31"/>
    <x v="5"/>
    <x v="2"/>
  </r>
  <r>
    <x v="7"/>
    <s v="61120 Guaranteed Payments - new"/>
    <s v="Expense"/>
    <s v="Company"/>
    <n v="24486.87"/>
    <x v="5"/>
    <x v="2"/>
  </r>
  <r>
    <x v="7"/>
    <s v="61200 Employee Benefits - Health - new"/>
    <s v="Expense"/>
    <s v="Company"/>
    <n v="2254.64"/>
    <x v="5"/>
    <x v="2"/>
  </r>
  <r>
    <x v="7"/>
    <s v="61300 Employer Payroll Tax Expense"/>
    <s v="Expense"/>
    <s v="Company"/>
    <n v="-1883.65"/>
    <x v="5"/>
    <x v="2"/>
  </r>
  <r>
    <x v="7"/>
    <s v="61520 Employee Uniforms - new"/>
    <s v="Expense"/>
    <s v="Company"/>
    <n v="22.85"/>
    <x v="10"/>
    <x v="2"/>
  </r>
  <r>
    <x v="7"/>
    <s v="63100 Professional Services"/>
    <s v="Expense"/>
    <s v="Company"/>
    <n v="687.45"/>
    <x v="6"/>
    <x v="2"/>
  </r>
  <r>
    <x v="7"/>
    <s v="63120 Accounting Services"/>
    <s v="Expense"/>
    <s v="Company"/>
    <n v="5800"/>
    <x v="6"/>
    <x v="2"/>
  </r>
  <r>
    <x v="7"/>
    <s v="63400 Human Resources"/>
    <s v="Expense"/>
    <s v="Company"/>
    <n v="2375"/>
    <x v="6"/>
    <x v="2"/>
  </r>
  <r>
    <x v="7"/>
    <s v="63500 IT"/>
    <s v="Expense"/>
    <s v="Company"/>
    <n v="2036.76"/>
    <x v="6"/>
    <x v="2"/>
  </r>
  <r>
    <x v="7"/>
    <s v="64110 Airfare"/>
    <s v="Expense"/>
    <s v="Company"/>
    <n v="74.94"/>
    <x v="7"/>
    <x v="2"/>
  </r>
  <r>
    <x v="7"/>
    <s v="65110 Airfare"/>
    <s v="Expense"/>
    <s v="Class A"/>
    <n v="336.48"/>
    <x v="12"/>
    <x v="2"/>
  </r>
  <r>
    <x v="7"/>
    <s v="65120 Hotels"/>
    <s v="Expense"/>
    <s v="Class A"/>
    <n v="724.4"/>
    <x v="12"/>
    <x v="2"/>
  </r>
  <r>
    <x v="7"/>
    <s v="65130 Ground Transportation"/>
    <s v="Expense"/>
    <s v="Class A"/>
    <n v="887.29"/>
    <x v="12"/>
    <x v="2"/>
  </r>
  <r>
    <x v="7"/>
    <s v="65140 Meals"/>
    <s v="Expense"/>
    <s v="Class A"/>
    <n v="138.58000000000001"/>
    <x v="12"/>
    <x v="2"/>
  </r>
  <r>
    <x v="7"/>
    <s v="66110 Airfare"/>
    <s v="Expense"/>
    <s v="Company"/>
    <n v="299.48"/>
    <x v="8"/>
    <x v="2"/>
  </r>
  <r>
    <x v="7"/>
    <s v="66120 Hotels"/>
    <s v="Expense"/>
    <s v="Company"/>
    <n v="28.55"/>
    <x v="8"/>
    <x v="2"/>
  </r>
  <r>
    <x v="7"/>
    <s v="66140 Meals"/>
    <s v="Expense"/>
    <s v="Company"/>
    <n v="27.89"/>
    <x v="8"/>
    <x v="2"/>
  </r>
  <r>
    <x v="7"/>
    <s v="66150 Event Fees"/>
    <s v="Expense"/>
    <s v="Company"/>
    <n v="545"/>
    <x v="8"/>
    <x v="2"/>
  </r>
  <r>
    <x v="7"/>
    <s v="67110 Software &amp; Apps"/>
    <s v="Expense"/>
    <s v="Class A"/>
    <n v="-150"/>
    <x v="9"/>
    <x v="2"/>
  </r>
  <r>
    <x v="7"/>
    <s v="67110 Software &amp; Apps"/>
    <s v="Expense"/>
    <s v="Company"/>
    <n v="4465.1000000000004"/>
    <x v="9"/>
    <x v="2"/>
  </r>
  <r>
    <x v="7"/>
    <s v="67112 Bank Fees &amp; Service Charges"/>
    <s v="Expense"/>
    <s v="Company"/>
    <n v="15.15"/>
    <x v="10"/>
    <x v="2"/>
  </r>
  <r>
    <x v="7"/>
    <s v="67114 Payroll Processing Fees"/>
    <s v="Expense"/>
    <s v="Company"/>
    <n v="90.12"/>
    <x v="10"/>
    <x v="2"/>
  </r>
  <r>
    <x v="7"/>
    <s v="67119 Office Supplies"/>
    <s v="Expense"/>
    <s v="Company"/>
    <n v="22.45"/>
    <x v="10"/>
    <x v="2"/>
  </r>
  <r>
    <x v="7"/>
    <s v="67124 G&amp;A Phone Expense"/>
    <s v="Expense"/>
    <s v="Company"/>
    <n v="116.1"/>
    <x v="10"/>
    <x v="2"/>
  </r>
  <r>
    <x v="7"/>
    <s v="67126 Other G&amp;A"/>
    <s v="Expense"/>
    <s v="Company"/>
    <n v="-11.95"/>
    <x v="10"/>
    <x v="2"/>
  </r>
  <r>
    <x v="7"/>
    <s v="68105 Business Licenses &amp; Registration Fees"/>
    <s v="Expense"/>
    <s v="Company"/>
    <n v="540.5"/>
    <x v="10"/>
    <x v="2"/>
  </r>
  <r>
    <x v="8"/>
    <s v="41000 Class B Revenue"/>
    <s v="Income"/>
    <s v="Class B"/>
    <n v="114659.44"/>
    <x v="0"/>
    <x v="0"/>
  </r>
  <r>
    <x v="8"/>
    <s v="42000 Class A Revenue"/>
    <s v="Income"/>
    <s v="Class A"/>
    <n v="71743.63"/>
    <x v="1"/>
    <x v="0"/>
  </r>
  <r>
    <x v="8"/>
    <s v="43000 Client 1 Revenue"/>
    <s v="Income"/>
    <s v="Class A"/>
    <n v="9185.1299999999992"/>
    <x v="1"/>
    <x v="0"/>
  </r>
  <r>
    <x v="8"/>
    <s v="51100 Project Expenses - new"/>
    <s v="Cost of Goods Sold"/>
    <s v="Class B"/>
    <n v="6075"/>
    <x v="3"/>
    <x v="1"/>
  </r>
  <r>
    <x v="8"/>
    <s v="51100 Project Expenses - new"/>
    <s v="Cost of Goods Sold"/>
    <s v="Class A"/>
    <n v="2503"/>
    <x v="3"/>
    <x v="1"/>
  </r>
  <r>
    <x v="8"/>
    <s v="53100 Salaries &amp; Wages (COS)"/>
    <s v="Cost of Goods Sold"/>
    <s v="Class A"/>
    <n v="32204.14"/>
    <x v="4"/>
    <x v="1"/>
  </r>
  <r>
    <x v="8"/>
    <s v="53100 Salaries &amp; Wages (COS)"/>
    <s v="Cost of Goods Sold"/>
    <s v="Class B"/>
    <n v="11078.6"/>
    <x v="4"/>
    <x v="1"/>
  </r>
  <r>
    <x v="8"/>
    <s v="53200 Employee Benefits - Health"/>
    <s v="Cost of Goods Sold"/>
    <s v="Class A"/>
    <n v="12227.51"/>
    <x v="4"/>
    <x v="1"/>
  </r>
  <r>
    <x v="8"/>
    <s v="53200 Employee Benefits - Health"/>
    <s v="Cost of Goods Sold"/>
    <s v="Class B"/>
    <n v="4206.41"/>
    <x v="4"/>
    <x v="1"/>
  </r>
  <r>
    <x v="8"/>
    <s v="53300 Payroll Expense - Employer Payroll Tax Expense"/>
    <s v="Cost of Goods Sold"/>
    <s v="Class A"/>
    <n v="2377.94"/>
    <x v="4"/>
    <x v="1"/>
  </r>
  <r>
    <x v="8"/>
    <s v="53300 Payroll Expense - Employer Payroll Tax Expense"/>
    <s v="Cost of Goods Sold"/>
    <s v="Class B"/>
    <n v="818.04"/>
    <x v="4"/>
    <x v="1"/>
  </r>
  <r>
    <x v="8"/>
    <s v="61100 Salaries &amp; Wages"/>
    <s v="Expense"/>
    <s v="Company"/>
    <n v="19430.05"/>
    <x v="5"/>
    <x v="2"/>
  </r>
  <r>
    <x v="8"/>
    <s v="61120 Guaranteed Payments - new"/>
    <s v="Expense"/>
    <s v="Company"/>
    <n v="16324.58"/>
    <x v="5"/>
    <x v="2"/>
  </r>
  <r>
    <x v="8"/>
    <s v="61200 Employee Benefits - Health - new"/>
    <s v="Expense"/>
    <s v="Company"/>
    <n v="7377.35"/>
    <x v="5"/>
    <x v="2"/>
  </r>
  <r>
    <x v="8"/>
    <s v="61300 Employer Payroll Tax Expense"/>
    <s v="Expense"/>
    <s v="Company"/>
    <n v="1434.71"/>
    <x v="5"/>
    <x v="2"/>
  </r>
  <r>
    <x v="8"/>
    <s v="63120 Accounting Services"/>
    <s v="Expense"/>
    <s v="Company"/>
    <n v="1500"/>
    <x v="6"/>
    <x v="2"/>
  </r>
  <r>
    <x v="8"/>
    <s v="63400 Human Resources"/>
    <s v="Expense"/>
    <s v="Company"/>
    <n v="1562.5"/>
    <x v="6"/>
    <x v="2"/>
  </r>
  <r>
    <x v="8"/>
    <s v="63500 IT"/>
    <s v="Expense"/>
    <s v="Company"/>
    <n v="2036.76"/>
    <x v="6"/>
    <x v="2"/>
  </r>
  <r>
    <x v="8"/>
    <s v="64110 Airfare"/>
    <s v="Expense"/>
    <s v="Company"/>
    <n v="44.96"/>
    <x v="7"/>
    <x v="2"/>
  </r>
  <r>
    <x v="8"/>
    <s v="64140 Meals"/>
    <s v="Expense"/>
    <s v="Company"/>
    <n v="25.33"/>
    <x v="7"/>
    <x v="2"/>
  </r>
  <r>
    <x v="8"/>
    <s v="65110 Airfare"/>
    <s v="Expense"/>
    <s v="Class A"/>
    <n v="1236.3699999999999"/>
    <x v="12"/>
    <x v="2"/>
  </r>
  <r>
    <x v="8"/>
    <s v="65120 Hotels"/>
    <s v="Expense"/>
    <s v="Class A"/>
    <n v="151.63999999999999"/>
    <x v="12"/>
    <x v="2"/>
  </r>
  <r>
    <x v="8"/>
    <s v="65130 Ground Transportation"/>
    <s v="Expense"/>
    <s v="Class A"/>
    <n v="176.24"/>
    <x v="12"/>
    <x v="2"/>
  </r>
  <r>
    <x v="8"/>
    <s v="65140 Meals"/>
    <s v="Expense"/>
    <s v="Class A"/>
    <n v="121.12"/>
    <x v="12"/>
    <x v="2"/>
  </r>
  <r>
    <x v="8"/>
    <s v="66120 Hotels"/>
    <s v="Expense"/>
    <s v="Company"/>
    <n v="523.27"/>
    <x v="8"/>
    <x v="2"/>
  </r>
  <r>
    <x v="8"/>
    <s v="66130 Ground Transportation"/>
    <s v="Expense"/>
    <s v="Company"/>
    <n v="203.97"/>
    <x v="8"/>
    <x v="2"/>
  </r>
  <r>
    <x v="8"/>
    <s v="66140 Meals"/>
    <s v="Expense"/>
    <s v="Company"/>
    <n v="83.55"/>
    <x v="8"/>
    <x v="2"/>
  </r>
  <r>
    <x v="8"/>
    <s v="66150 Event Fees"/>
    <s v="Expense"/>
    <s v="Company"/>
    <n v="675"/>
    <x v="8"/>
    <x v="2"/>
  </r>
  <r>
    <x v="8"/>
    <s v="66160 Other"/>
    <s v="Expense"/>
    <s v="Company"/>
    <n v="45.28"/>
    <x v="8"/>
    <x v="2"/>
  </r>
  <r>
    <x v="8"/>
    <s v="67110 Software &amp; Apps"/>
    <s v="Expense"/>
    <s v="Class A"/>
    <n v="356.77"/>
    <x v="9"/>
    <x v="2"/>
  </r>
  <r>
    <x v="8"/>
    <s v="67110 Software &amp; Apps"/>
    <s v="Expense"/>
    <s v="Company"/>
    <n v="-160.02000000000001"/>
    <x v="9"/>
    <x v="2"/>
  </r>
  <r>
    <x v="8"/>
    <s v="67112 Bank Fees &amp; Service Charges"/>
    <s v="Expense"/>
    <s v="Company"/>
    <n v="10.6"/>
    <x v="10"/>
    <x v="2"/>
  </r>
  <r>
    <x v="8"/>
    <s v="67114 Payroll Processing Fees"/>
    <s v="Expense"/>
    <s v="Company"/>
    <n v="540"/>
    <x v="10"/>
    <x v="2"/>
  </r>
  <r>
    <x v="8"/>
    <s v="67119 Office Supplies"/>
    <s v="Expense"/>
    <s v="Company"/>
    <n v="492.62"/>
    <x v="10"/>
    <x v="2"/>
  </r>
  <r>
    <x v="8"/>
    <s v="67126 Other G&amp;A"/>
    <s v="Expense"/>
    <s v="Company"/>
    <n v="13.05"/>
    <x v="10"/>
    <x v="2"/>
  </r>
  <r>
    <x v="8"/>
    <s v="67240 Cyber Insurance - new"/>
    <s v="Expense"/>
    <s v="Company"/>
    <n v="755.75"/>
    <x v="13"/>
    <x v="2"/>
  </r>
  <r>
    <x v="9"/>
    <s v="41000 Class B Revenue"/>
    <s v="Income"/>
    <s v="Class B"/>
    <n v="127818.39"/>
    <x v="0"/>
    <x v="0"/>
  </r>
  <r>
    <x v="9"/>
    <s v="42000 Class A Revenue"/>
    <s v="Income"/>
    <s v="Class A"/>
    <n v="33764.379999999997"/>
    <x v="1"/>
    <x v="0"/>
  </r>
  <r>
    <x v="9"/>
    <s v="43000 Client 1 Revenue"/>
    <s v="Income"/>
    <s v="Class A"/>
    <n v="4419"/>
    <x v="1"/>
    <x v="0"/>
  </r>
  <r>
    <x v="9"/>
    <s v="51100 Project Expenses - new"/>
    <s v="Cost of Goods Sold"/>
    <s v="Class A"/>
    <n v="35403.35"/>
    <x v="3"/>
    <x v="1"/>
  </r>
  <r>
    <x v="9"/>
    <s v="51100 Project Expenses - new"/>
    <s v="Cost of Goods Sold"/>
    <s v="Class B"/>
    <n v="11413"/>
    <x v="3"/>
    <x v="1"/>
  </r>
  <r>
    <x v="9"/>
    <s v="53100 Salaries &amp; Wages (COS)"/>
    <s v="Cost of Goods Sold"/>
    <s v="Class B"/>
    <n v="11152.47"/>
    <x v="4"/>
    <x v="1"/>
  </r>
  <r>
    <x v="9"/>
    <s v="53100 Salaries &amp; Wages (COS)"/>
    <s v="Cost of Goods Sold"/>
    <s v="Class A"/>
    <n v="32418.880000000001"/>
    <x v="4"/>
    <x v="1"/>
  </r>
  <r>
    <x v="9"/>
    <s v="53200 Employee Benefits - Health"/>
    <s v="Cost of Goods Sold"/>
    <s v="Class B"/>
    <n v="2296.2199999999998"/>
    <x v="4"/>
    <x v="1"/>
  </r>
  <r>
    <x v="9"/>
    <s v="53200 Employee Benefits - Health"/>
    <s v="Cost of Goods Sold"/>
    <s v="Class A"/>
    <n v="6674.84"/>
    <x v="4"/>
    <x v="1"/>
  </r>
  <r>
    <x v="9"/>
    <s v="53220 Employee Benefits - Retirement Plans"/>
    <s v="Cost of Goods Sold"/>
    <s v="Class B"/>
    <n v="241.18"/>
    <x v="4"/>
    <x v="1"/>
  </r>
  <r>
    <x v="9"/>
    <s v="53220 Employee Benefits - Retirement Plans"/>
    <s v="Cost of Goods Sold"/>
    <s v="Class A"/>
    <n v="701.09"/>
    <x v="4"/>
    <x v="1"/>
  </r>
  <r>
    <x v="9"/>
    <s v="53300 Payroll Expense - Employer Payroll Tax Expense"/>
    <s v="Cost of Goods Sold"/>
    <s v="Class A"/>
    <n v="1255.6300000000001"/>
    <x v="4"/>
    <x v="1"/>
  </r>
  <r>
    <x v="9"/>
    <s v="53300 Payroll Expense - Employer Payroll Tax Expense"/>
    <s v="Cost of Goods Sold"/>
    <s v="Class B"/>
    <n v="431.95"/>
    <x v="4"/>
    <x v="1"/>
  </r>
  <r>
    <x v="9"/>
    <s v="61100 Salaries &amp; Wages"/>
    <s v="Expense"/>
    <s v="Company"/>
    <n v="19559.61"/>
    <x v="5"/>
    <x v="2"/>
  </r>
  <r>
    <x v="9"/>
    <s v="61120 Guaranteed Payments - new"/>
    <s v="Expense"/>
    <s v="Company"/>
    <n v="16324.58"/>
    <x v="5"/>
    <x v="2"/>
  </r>
  <r>
    <x v="9"/>
    <s v="61200 Employee Benefits - Health - new"/>
    <s v="Expense"/>
    <s v="Company"/>
    <n v="4027.2"/>
    <x v="5"/>
    <x v="2"/>
  </r>
  <r>
    <x v="9"/>
    <s v="61220 Employee Benefits - Retirement Plans - new"/>
    <s v="Expense"/>
    <s v="Company"/>
    <n v="422.99"/>
    <x v="5"/>
    <x v="2"/>
  </r>
  <r>
    <x v="9"/>
    <s v="61300 Employer Payroll Tax Expense"/>
    <s v="Expense"/>
    <s v="Company"/>
    <n v="757.57"/>
    <x v="5"/>
    <x v="2"/>
  </r>
  <r>
    <x v="9"/>
    <s v="61520 Employee Uniforms - new"/>
    <s v="Expense"/>
    <s v="Company"/>
    <n v="304.83999999999997"/>
    <x v="10"/>
    <x v="2"/>
  </r>
  <r>
    <x v="9"/>
    <s v="63120 Accounting Services"/>
    <s v="Expense"/>
    <s v="Company"/>
    <n v="2020"/>
    <x v="6"/>
    <x v="2"/>
  </r>
  <r>
    <x v="9"/>
    <s v="63400 Human Resources"/>
    <s v="Expense"/>
    <s v="Company"/>
    <n v="1125"/>
    <x v="6"/>
    <x v="2"/>
  </r>
  <r>
    <x v="9"/>
    <s v="63500 IT"/>
    <s v="Expense"/>
    <s v="Company"/>
    <n v="2036.76"/>
    <x v="6"/>
    <x v="2"/>
  </r>
  <r>
    <x v="9"/>
    <s v="63700 Marketing"/>
    <s v="Expense"/>
    <s v="Company"/>
    <n v="1600"/>
    <x v="6"/>
    <x v="2"/>
  </r>
  <r>
    <x v="9"/>
    <s v="64110 Airfare"/>
    <s v="Expense"/>
    <s v="Company"/>
    <n v="59.95"/>
    <x v="7"/>
    <x v="2"/>
  </r>
  <r>
    <x v="9"/>
    <s v="64120 Hotels"/>
    <s v="Expense"/>
    <s v="Company"/>
    <n v="5319.74"/>
    <x v="7"/>
    <x v="2"/>
  </r>
  <r>
    <x v="9"/>
    <s v="64150 Employee and Team Meals"/>
    <s v="Expense"/>
    <s v="Company"/>
    <n v="427.58"/>
    <x v="7"/>
    <x v="2"/>
  </r>
  <r>
    <x v="9"/>
    <s v="64180 Entertainment"/>
    <s v="Expense"/>
    <s v="Company"/>
    <n v="328.94"/>
    <x v="7"/>
    <x v="2"/>
  </r>
  <r>
    <x v="9"/>
    <s v="64190 Other"/>
    <s v="Expense"/>
    <s v="Company"/>
    <n v="330.31"/>
    <x v="7"/>
    <x v="2"/>
  </r>
  <r>
    <x v="9"/>
    <s v="65110 Airfare"/>
    <s v="Expense"/>
    <s v="Class A"/>
    <n v="774.97"/>
    <x v="12"/>
    <x v="2"/>
  </r>
  <r>
    <x v="9"/>
    <s v="65120 Hotels"/>
    <s v="Expense"/>
    <s v="Class A"/>
    <n v="405.5"/>
    <x v="12"/>
    <x v="2"/>
  </r>
  <r>
    <x v="9"/>
    <s v="65130 Ground Transportation"/>
    <s v="Expense"/>
    <s v="Class A"/>
    <n v="725.18"/>
    <x v="12"/>
    <x v="2"/>
  </r>
  <r>
    <x v="9"/>
    <s v="65140 Meals"/>
    <s v="Expense"/>
    <s v="Class A"/>
    <n v="62.33"/>
    <x v="12"/>
    <x v="2"/>
  </r>
  <r>
    <x v="9"/>
    <s v="65150 Other"/>
    <s v="Expense"/>
    <s v="Class A"/>
    <n v="335.83"/>
    <x v="12"/>
    <x v="2"/>
  </r>
  <r>
    <x v="9"/>
    <s v="66120 Hotels"/>
    <s v="Expense"/>
    <s v="Company"/>
    <n v="569.48"/>
    <x v="8"/>
    <x v="2"/>
  </r>
  <r>
    <x v="9"/>
    <s v="66130 Ground Transportation"/>
    <s v="Expense"/>
    <s v="Company"/>
    <n v="395.71"/>
    <x v="8"/>
    <x v="2"/>
  </r>
  <r>
    <x v="9"/>
    <s v="66140 Meals"/>
    <s v="Expense"/>
    <s v="Company"/>
    <n v="70.75"/>
    <x v="8"/>
    <x v="2"/>
  </r>
  <r>
    <x v="9"/>
    <s v="67110 Software &amp; Apps"/>
    <s v="Expense"/>
    <s v="Company"/>
    <n v="1390.07"/>
    <x v="9"/>
    <x v="2"/>
  </r>
  <r>
    <x v="9"/>
    <s v="67112 Bank Fees &amp; Service Charges"/>
    <s v="Expense"/>
    <s v="Company"/>
    <n v="40"/>
    <x v="10"/>
    <x v="2"/>
  </r>
  <r>
    <x v="9"/>
    <s v="67114 Payroll Processing Fees"/>
    <s v="Expense"/>
    <s v="Company"/>
    <n v="495"/>
    <x v="10"/>
    <x v="2"/>
  </r>
  <r>
    <x v="9"/>
    <s v="67118 Equipment"/>
    <s v="Expense"/>
    <s v="Company"/>
    <n v="1281.79"/>
    <x v="10"/>
    <x v="2"/>
  </r>
  <r>
    <x v="9"/>
    <s v="67121 Shipping &amp; Postage"/>
    <s v="Expense"/>
    <s v="Company"/>
    <n v="49.6"/>
    <x v="10"/>
    <x v="2"/>
  </r>
  <r>
    <x v="9"/>
    <s v="67126 Other G&amp;A"/>
    <s v="Expense"/>
    <s v="Company"/>
    <n v="29.3"/>
    <x v="10"/>
    <x v="2"/>
  </r>
  <r>
    <x v="9"/>
    <s v="67220 Liability Insurance"/>
    <s v="Expense"/>
    <s v="Company"/>
    <n v="3988.23"/>
    <x v="13"/>
    <x v="2"/>
  </r>
  <r>
    <x v="9"/>
    <s v="67240 Cyber Insurance - new"/>
    <s v="Expense"/>
    <s v="Company"/>
    <n v="755.75"/>
    <x v="13"/>
    <x v="2"/>
  </r>
  <r>
    <x v="10"/>
    <s v="41000 Class B Revenue"/>
    <s v="Income"/>
    <s v="Class B"/>
    <n v="184380.29"/>
    <x v="0"/>
    <x v="0"/>
  </r>
  <r>
    <x v="10"/>
    <s v="42000 Class A Revenue"/>
    <s v="Income"/>
    <s v="Class A"/>
    <n v="46341.25"/>
    <x v="1"/>
    <x v="0"/>
  </r>
  <r>
    <x v="10"/>
    <s v="43000 Client 1 Revenue"/>
    <s v="Income"/>
    <s v="Class A"/>
    <n v="14104.8"/>
    <x v="1"/>
    <x v="0"/>
  </r>
  <r>
    <x v="10"/>
    <s v="51100 Project Expenses - new"/>
    <s v="Cost of Goods Sold"/>
    <s v="Class B"/>
    <n v="7469"/>
    <x v="3"/>
    <x v="1"/>
  </r>
  <r>
    <x v="10"/>
    <s v="51100 Project Expenses - new"/>
    <s v="Cost of Goods Sold"/>
    <s v="Class A"/>
    <n v="6900"/>
    <x v="3"/>
    <x v="1"/>
  </r>
  <r>
    <x v="10"/>
    <s v="53100 Salaries &amp; Wages (COS)"/>
    <s v="Cost of Goods Sold"/>
    <s v="Class A"/>
    <n v="33100.03"/>
    <x v="4"/>
    <x v="1"/>
  </r>
  <r>
    <x v="10"/>
    <s v="53100 Salaries &amp; Wages (COS)"/>
    <s v="Cost of Goods Sold"/>
    <s v="Class B"/>
    <n v="11386.8"/>
    <x v="4"/>
    <x v="1"/>
  </r>
  <r>
    <x v="10"/>
    <s v="53200 Employee Benefits - Health"/>
    <s v="Cost of Goods Sold"/>
    <s v="Class A"/>
    <n v="6361.66"/>
    <x v="4"/>
    <x v="1"/>
  </r>
  <r>
    <x v="10"/>
    <s v="53200 Employee Benefits - Health"/>
    <s v="Cost of Goods Sold"/>
    <s v="Class B"/>
    <n v="2188.48"/>
    <x v="4"/>
    <x v="1"/>
  </r>
  <r>
    <x v="10"/>
    <s v="53300 Payroll Expense - Employer Payroll Tax Expense"/>
    <s v="Cost of Goods Sold"/>
    <s v="Class A"/>
    <n v="2471.83"/>
    <x v="4"/>
    <x v="1"/>
  </r>
  <r>
    <x v="10"/>
    <s v="53300 Payroll Expense - Employer Payroll Tax Expense"/>
    <s v="Cost of Goods Sold"/>
    <s v="Class B"/>
    <n v="850.34"/>
    <x v="4"/>
    <x v="1"/>
  </r>
  <r>
    <x v="10"/>
    <s v="61100 Salaries &amp; Wages"/>
    <s v="Expense"/>
    <s v="Company"/>
    <n v="19970.580000000002"/>
    <x v="5"/>
    <x v="2"/>
  </r>
  <r>
    <x v="10"/>
    <s v="61120 Guaranteed Payments - new"/>
    <s v="Expense"/>
    <s v="Company"/>
    <n v="16324.58"/>
    <x v="5"/>
    <x v="2"/>
  </r>
  <r>
    <x v="10"/>
    <s v="61200 Employee Benefits - Health - new"/>
    <s v="Expense"/>
    <s v="Company"/>
    <n v="3838.24"/>
    <x v="5"/>
    <x v="2"/>
  </r>
  <r>
    <x v="10"/>
    <s v="61300 Employer Payroll Tax Expense"/>
    <s v="Expense"/>
    <s v="Company"/>
    <n v="1491.36"/>
    <x v="5"/>
    <x v="2"/>
  </r>
  <r>
    <x v="10"/>
    <s v="61520 Employee Uniforms - new"/>
    <s v="Expense"/>
    <s v="Company"/>
    <n v="1048.04"/>
    <x v="10"/>
    <x v="2"/>
  </r>
  <r>
    <x v="10"/>
    <s v="61550 Company Retreats &amp; Employee Events - new"/>
    <s v="Expense"/>
    <s v="Company"/>
    <n v="1139.1199999999999"/>
    <x v="10"/>
    <x v="2"/>
  </r>
  <r>
    <x v="10"/>
    <s v="63100 Professional Services"/>
    <s v="Expense"/>
    <s v="Company"/>
    <n v="12500"/>
    <x v="6"/>
    <x v="2"/>
  </r>
  <r>
    <x v="10"/>
    <s v="63120 Accounting Services"/>
    <s v="Expense"/>
    <s v="Company"/>
    <n v="9650"/>
    <x v="6"/>
    <x v="2"/>
  </r>
  <r>
    <x v="10"/>
    <s v="63400 Human Resources"/>
    <s v="Expense"/>
    <s v="Company"/>
    <n v="1750"/>
    <x v="6"/>
    <x v="2"/>
  </r>
  <r>
    <x v="10"/>
    <s v="63500 IT"/>
    <s v="Expense"/>
    <s v="Company"/>
    <n v="4971.93"/>
    <x v="6"/>
    <x v="2"/>
  </r>
  <r>
    <x v="10"/>
    <s v="63500 IT"/>
    <s v="Expense"/>
    <s v="Class A"/>
    <n v="7700"/>
    <x v="6"/>
    <x v="2"/>
  </r>
  <r>
    <x v="10"/>
    <s v="64130 Ground Transportation"/>
    <s v="Expense"/>
    <s v="Company"/>
    <n v="50"/>
    <x v="7"/>
    <x v="2"/>
  </r>
  <r>
    <x v="10"/>
    <s v="66120 Hotels"/>
    <s v="Expense"/>
    <s v="Company"/>
    <n v="1533.24"/>
    <x v="8"/>
    <x v="2"/>
  </r>
  <r>
    <x v="10"/>
    <s v="66130 Ground Transportation"/>
    <s v="Expense"/>
    <s v="Company"/>
    <n v="118.16"/>
    <x v="8"/>
    <x v="2"/>
  </r>
  <r>
    <x v="10"/>
    <s v="66140 Meals"/>
    <s v="Expense"/>
    <s v="Company"/>
    <n v="65.77"/>
    <x v="8"/>
    <x v="2"/>
  </r>
  <r>
    <x v="10"/>
    <s v="67110 Software &amp; Apps"/>
    <s v="Expense"/>
    <s v="Class A"/>
    <n v="468.08"/>
    <x v="9"/>
    <x v="2"/>
  </r>
  <r>
    <x v="10"/>
    <s v="67110 Software &amp; Apps"/>
    <s v="Expense"/>
    <s v="Company"/>
    <n v="1672.83"/>
    <x v="9"/>
    <x v="2"/>
  </r>
  <r>
    <x v="10"/>
    <s v="67111 Website"/>
    <s v="Expense"/>
    <s v="Company"/>
    <n v="224.85"/>
    <x v="10"/>
    <x v="2"/>
  </r>
  <r>
    <x v="10"/>
    <s v="67112 Bank Fees &amp; Service Charges"/>
    <s v="Expense"/>
    <s v="Company"/>
    <n v="7.41"/>
    <x v="10"/>
    <x v="2"/>
  </r>
  <r>
    <x v="10"/>
    <s v="67114 Payroll Processing Fees"/>
    <s v="Expense"/>
    <s v="Company"/>
    <n v="566.52"/>
    <x v="10"/>
    <x v="2"/>
  </r>
  <r>
    <x v="10"/>
    <s v="67117 Memberships Dues"/>
    <s v="Expense"/>
    <s v="Company"/>
    <n v="160"/>
    <x v="10"/>
    <x v="2"/>
  </r>
  <r>
    <x v="10"/>
    <s v="67119 Office Supplies"/>
    <s v="Expense"/>
    <s v="Company"/>
    <n v="160.9"/>
    <x v="10"/>
    <x v="2"/>
  </r>
  <r>
    <x v="10"/>
    <s v="67126 Other G&amp;A"/>
    <s v="Expense"/>
    <s v="Class A"/>
    <n v="20"/>
    <x v="10"/>
    <x v="2"/>
  </r>
  <r>
    <x v="10"/>
    <s v="67126 Other G&amp;A"/>
    <s v="Expense"/>
    <s v="Company"/>
    <n v="32.5"/>
    <x v="10"/>
    <x v="2"/>
  </r>
  <r>
    <x v="10"/>
    <s v="68105 Business Licenses &amp; Registration Fees"/>
    <s v="Expense"/>
    <s v="Company"/>
    <n v="35"/>
    <x v="10"/>
    <x v="2"/>
  </r>
  <r>
    <x v="11"/>
    <s v="41000 Class B Revenue"/>
    <s v="Income"/>
    <s v="Class B"/>
    <n v="121685.44"/>
    <x v="0"/>
    <x v="0"/>
  </r>
  <r>
    <x v="11"/>
    <s v="42000 Class A Revenue"/>
    <s v="Income"/>
    <s v="Class A"/>
    <n v="13296.8"/>
    <x v="1"/>
    <x v="0"/>
  </r>
  <r>
    <x v="11"/>
    <s v="43000 Client 1 Revenue"/>
    <s v="Income"/>
    <s v="Class A"/>
    <n v="3187.71"/>
    <x v="1"/>
    <x v="0"/>
  </r>
  <r>
    <x v="11"/>
    <s v="51100 Project Expenses - new"/>
    <s v="Cost of Goods Sold"/>
    <s v="Class A"/>
    <n v="7631.8"/>
    <x v="3"/>
    <x v="1"/>
  </r>
  <r>
    <x v="11"/>
    <s v="51100 Project Expenses - new"/>
    <s v="Cost of Goods Sold"/>
    <s v="Class B"/>
    <n v="1600"/>
    <x v="3"/>
    <x v="1"/>
  </r>
  <r>
    <x v="11"/>
    <s v="53100 Salaries &amp; Wages (COS)"/>
    <s v="Cost of Goods Sold"/>
    <s v="Class A"/>
    <n v="36382.44"/>
    <x v="4"/>
    <x v="1"/>
  </r>
  <r>
    <x v="11"/>
    <s v="53100 Salaries &amp; Wages (COS)"/>
    <s v="Cost of Goods Sold"/>
    <s v="Class B"/>
    <n v="12515.99"/>
    <x v="4"/>
    <x v="1"/>
  </r>
  <r>
    <x v="11"/>
    <s v="53200 Employee Benefits - Health"/>
    <s v="Cost of Goods Sold"/>
    <s v="Class B"/>
    <n v="2284.2800000000002"/>
    <x v="4"/>
    <x v="1"/>
  </r>
  <r>
    <x v="11"/>
    <s v="53200 Employee Benefits - Health"/>
    <s v="Cost of Goods Sold"/>
    <s v="Class A"/>
    <n v="6640.13"/>
    <x v="4"/>
    <x v="1"/>
  </r>
  <r>
    <x v="11"/>
    <s v="53210 Employee Benefits - Workers Comp Ins"/>
    <s v="Cost of Goods Sold"/>
    <s v="Class B"/>
    <n v="206.68"/>
    <x v="4"/>
    <x v="1"/>
  </r>
  <r>
    <x v="11"/>
    <s v="53210 Employee Benefits - Workers Comp Ins"/>
    <s v="Cost of Goods Sold"/>
    <s v="Class A"/>
    <n v="600.82000000000005"/>
    <x v="4"/>
    <x v="1"/>
  </r>
  <r>
    <x v="11"/>
    <s v="53230 Employee Benefits -  Life Insurance"/>
    <s v="Cost of Goods Sold"/>
    <s v="Class A"/>
    <n v="-70.540000000000006"/>
    <x v="4"/>
    <x v="1"/>
  </r>
  <r>
    <x v="11"/>
    <s v="53230 Employee Benefits -  Life Insurance"/>
    <s v="Cost of Goods Sold"/>
    <s v="Class B"/>
    <n v="-24.27"/>
    <x v="4"/>
    <x v="1"/>
  </r>
  <r>
    <x v="11"/>
    <s v="53300 Payroll Expense - Employer Payroll Tax Expense"/>
    <s v="Cost of Goods Sold"/>
    <s v="Class A"/>
    <n v="4521.8500000000004"/>
    <x v="4"/>
    <x v="1"/>
  </r>
  <r>
    <x v="11"/>
    <s v="61100 Salaries &amp; Wages"/>
    <s v="Expense"/>
    <s v="Company"/>
    <n v="21950.99"/>
    <x v="5"/>
    <x v="2"/>
  </r>
  <r>
    <x v="11"/>
    <s v="61120 Guaranteed Payments - new"/>
    <s v="Expense"/>
    <s v="Company"/>
    <n v="16324.58"/>
    <x v="5"/>
    <x v="2"/>
  </r>
  <r>
    <x v="11"/>
    <s v="61200 Employee Benefits - Health - new"/>
    <s v="Expense"/>
    <s v="Company"/>
    <n v="4006.26"/>
    <x v="5"/>
    <x v="2"/>
  </r>
  <r>
    <x v="11"/>
    <s v="61210 Employee Benefits - Workers Comp Ins - new"/>
    <s v="Expense"/>
    <s v="Company"/>
    <n v="362.5"/>
    <x v="5"/>
    <x v="2"/>
  </r>
  <r>
    <x v="11"/>
    <s v="61230 Employee Benefits -  Life Insurance - new"/>
    <s v="Expense"/>
    <s v="Company"/>
    <n v="-42.56"/>
    <x v="5"/>
    <x v="2"/>
  </r>
  <r>
    <x v="11"/>
    <s v="63100 Professional Services"/>
    <s v="Expense"/>
    <s v="Company"/>
    <n v="22500"/>
    <x v="6"/>
    <x v="2"/>
  </r>
  <r>
    <x v="11"/>
    <s v="63120 Accounting Services"/>
    <s v="Expense"/>
    <s v="Company"/>
    <n v="5800"/>
    <x v="6"/>
    <x v="2"/>
  </r>
  <r>
    <x v="11"/>
    <s v="63200 Employee Recruiting"/>
    <s v="Expense"/>
    <s v="Company"/>
    <n v="365.24"/>
    <x v="6"/>
    <x v="2"/>
  </r>
  <r>
    <x v="11"/>
    <s v="63400 Human Resources"/>
    <s v="Expense"/>
    <s v="Company"/>
    <n v="2250"/>
    <x v="6"/>
    <x v="2"/>
  </r>
  <r>
    <x v="11"/>
    <s v="63500 IT"/>
    <s v="Expense"/>
    <s v="Company"/>
    <n v="1640"/>
    <x v="6"/>
    <x v="2"/>
  </r>
  <r>
    <x v="11"/>
    <s v="65110 Airfare"/>
    <s v="Expense"/>
    <s v="Class A"/>
    <n v="829.66"/>
    <x v="12"/>
    <x v="2"/>
  </r>
  <r>
    <x v="11"/>
    <s v="65120 Hotels"/>
    <s v="Expense"/>
    <s v="Class A"/>
    <n v="517.17999999999995"/>
    <x v="12"/>
    <x v="2"/>
  </r>
  <r>
    <x v="11"/>
    <s v="65130 Ground Transportation"/>
    <s v="Expense"/>
    <s v="Company"/>
    <n v="353"/>
    <x v="12"/>
    <x v="2"/>
  </r>
  <r>
    <x v="11"/>
    <s v="65130 Ground Transportation"/>
    <s v="Expense"/>
    <s v="Class A"/>
    <n v="26.34"/>
    <x v="12"/>
    <x v="2"/>
  </r>
  <r>
    <x v="11"/>
    <s v="65140 Meals"/>
    <s v="Expense"/>
    <s v="Class A"/>
    <n v="129.97"/>
    <x v="12"/>
    <x v="2"/>
  </r>
  <r>
    <x v="11"/>
    <s v="66120 Hotels"/>
    <s v="Expense"/>
    <s v="Company"/>
    <n v="362"/>
    <x v="8"/>
    <x v="2"/>
  </r>
  <r>
    <x v="11"/>
    <s v="67110 Software &amp; Apps"/>
    <s v="Expense"/>
    <s v="Company"/>
    <n v="1973.16"/>
    <x v="9"/>
    <x v="2"/>
  </r>
  <r>
    <x v="11"/>
    <s v="67110 Software &amp; Apps"/>
    <s v="Expense"/>
    <s v="Class A"/>
    <n v="-126.92"/>
    <x v="9"/>
    <x v="2"/>
  </r>
  <r>
    <x v="11"/>
    <s v="67111 Website"/>
    <s v="Expense"/>
    <s v="Company"/>
    <n v="162.44999999999999"/>
    <x v="10"/>
    <x v="2"/>
  </r>
  <r>
    <x v="11"/>
    <s v="67112 Bank Fees &amp; Service Charges"/>
    <s v="Expense"/>
    <s v="Company"/>
    <n v="26.2"/>
    <x v="10"/>
    <x v="2"/>
  </r>
  <r>
    <x v="11"/>
    <s v="67114 Payroll Processing Fees"/>
    <s v="Expense"/>
    <s v="Company"/>
    <n v="1915"/>
    <x v="10"/>
    <x v="2"/>
  </r>
  <r>
    <x v="11"/>
    <s v="67117 Memberships Dues"/>
    <s v="Expense"/>
    <s v="Company"/>
    <n v="515"/>
    <x v="10"/>
    <x v="2"/>
  </r>
  <r>
    <x v="11"/>
    <s v="67119 Office Supplies"/>
    <s v="Expense"/>
    <s v="Company"/>
    <n v="23.45"/>
    <x v="10"/>
    <x v="2"/>
  </r>
  <r>
    <x v="11"/>
    <s v="67121 Shipping &amp; Postage"/>
    <s v="Expense"/>
    <s v="Company"/>
    <n v="235.59"/>
    <x v="10"/>
    <x v="2"/>
  </r>
  <r>
    <x v="11"/>
    <s v="67125 Licenses"/>
    <s v="Expense"/>
    <s v="Company"/>
    <n v="200"/>
    <x v="10"/>
    <x v="2"/>
  </r>
  <r>
    <x v="11"/>
    <s v="67126 Other G&amp;A"/>
    <s v="Expense"/>
    <s v="Company"/>
    <n v="4763.83"/>
    <x v="10"/>
    <x v="2"/>
  </r>
  <r>
    <x v="11"/>
    <s v="67126 Other G&amp;A"/>
    <s v="Expense"/>
    <s v="Class A"/>
    <n v="404.19"/>
    <x v="10"/>
    <x v="2"/>
  </r>
  <r>
    <x v="11"/>
    <s v="67126 Other G&amp;A"/>
    <s v="Expense"/>
    <m/>
    <n v="1432.53"/>
    <x v="10"/>
    <x v="2"/>
  </r>
  <r>
    <x v="11"/>
    <s v="67220 Liability Insurance"/>
    <s v="Expense"/>
    <s v="Company"/>
    <n v="500"/>
    <x v="13"/>
    <x v="2"/>
  </r>
  <r>
    <x v="11"/>
    <s v="68105 Business Licenses &amp; Registration Fees"/>
    <s v="Expense"/>
    <s v="Company"/>
    <n v="1167"/>
    <x v="10"/>
    <x v="2"/>
  </r>
  <r>
    <x v="12"/>
    <s v="41000 Class B Revenue"/>
    <s v="Income"/>
    <s v="Class B"/>
    <n v="125841.72"/>
    <x v="0"/>
    <x v="0"/>
  </r>
  <r>
    <x v="12"/>
    <s v="42000 Class A Revenue"/>
    <s v="Income"/>
    <s v="Class A"/>
    <n v="29014.25"/>
    <x v="1"/>
    <x v="0"/>
  </r>
  <r>
    <x v="12"/>
    <s v="43000 Client 1 Revenue"/>
    <s v="Income"/>
    <s v="Class A"/>
    <n v="24412.86"/>
    <x v="1"/>
    <x v="0"/>
  </r>
  <r>
    <x v="12"/>
    <s v="51100 Project Expenses - new"/>
    <s v="Cost of Goods Sold"/>
    <s v="Class A"/>
    <n v="123.7"/>
    <x v="3"/>
    <x v="1"/>
  </r>
  <r>
    <x v="12"/>
    <s v="51100 Project Expenses - new"/>
    <s v="Cost of Goods Sold"/>
    <s v="Class B"/>
    <n v="20770"/>
    <x v="3"/>
    <x v="1"/>
  </r>
  <r>
    <x v="12"/>
    <s v="53100 Salaries &amp; Wages (COS)"/>
    <s v="Cost of Goods Sold"/>
    <s v="Class B"/>
    <n v="15585.87"/>
    <x v="4"/>
    <x v="1"/>
  </r>
  <r>
    <x v="12"/>
    <s v="53100 Salaries &amp; Wages (COS)"/>
    <s v="Cost of Goods Sold"/>
    <s v="Class A"/>
    <n v="15943"/>
    <x v="4"/>
    <x v="1"/>
  </r>
  <r>
    <x v="12"/>
    <s v="53200 Employee Benefits - Health"/>
    <s v="Cost of Goods Sold"/>
    <s v="Class A"/>
    <n v="5126.4399999999996"/>
    <x v="4"/>
    <x v="1"/>
  </r>
  <r>
    <x v="12"/>
    <s v="53200 Employee Benefits - Health"/>
    <s v="Cost of Goods Sold"/>
    <s v="Class B"/>
    <n v="4166.1099999999997"/>
    <x v="4"/>
    <x v="1"/>
  </r>
  <r>
    <x v="12"/>
    <s v="53230 Employee Benefits -  Life Insurance"/>
    <s v="Cost of Goods Sold"/>
    <s v="Class A"/>
    <n v="-92.9"/>
    <x v="4"/>
    <x v="1"/>
  </r>
  <r>
    <x v="12"/>
    <s v="53230 Employee Benefits -  Life Insurance"/>
    <s v="Cost of Goods Sold"/>
    <s v="Class B"/>
    <n v="-65.680000000000007"/>
    <x v="4"/>
    <x v="1"/>
  </r>
  <r>
    <x v="12"/>
    <s v="53240 Employee Benefits - LTD"/>
    <s v="Cost of Goods Sold"/>
    <s v="Class A"/>
    <n v="69.510000000000005"/>
    <x v="4"/>
    <x v="1"/>
  </r>
  <r>
    <x v="12"/>
    <s v="53240 Employee Benefits - LTD"/>
    <s v="Cost of Goods Sold"/>
    <s v="Class B"/>
    <n v="45.67"/>
    <x v="4"/>
    <x v="1"/>
  </r>
  <r>
    <x v="12"/>
    <s v="53300 Payroll Expense - Employer Payroll Tax Expense"/>
    <s v="Cost of Goods Sold"/>
    <s v="Class B"/>
    <n v="1550.97"/>
    <x v="4"/>
    <x v="1"/>
  </r>
  <r>
    <x v="12"/>
    <s v="53300 Payroll Expense - Employer Payroll Tax Expense"/>
    <s v="Cost of Goods Sold"/>
    <s v="Class A"/>
    <n v="1362.7"/>
    <x v="4"/>
    <x v="1"/>
  </r>
  <r>
    <x v="12"/>
    <s v="61100 Salaries &amp; Wages"/>
    <s v="Expense"/>
    <s v="Company"/>
    <n v="24990.2"/>
    <x v="5"/>
    <x v="2"/>
  </r>
  <r>
    <x v="12"/>
    <s v="61120 Guaranteed Payments - new"/>
    <s v="Expense"/>
    <s v="Company"/>
    <n v="18656.669999999998"/>
    <x v="5"/>
    <x v="2"/>
  </r>
  <r>
    <x v="12"/>
    <s v="61200 Employee Benefits - Health - new"/>
    <s v="Expense"/>
    <s v="Company"/>
    <n v="5627.01"/>
    <x v="5"/>
    <x v="2"/>
  </r>
  <r>
    <x v="12"/>
    <s v="61220 Employee Benefits - Retirement Plans - new"/>
    <s v="Expense"/>
    <s v="Company"/>
    <n v="1588.85"/>
    <x v="5"/>
    <x v="2"/>
  </r>
  <r>
    <x v="12"/>
    <s v="61230 Employee Benefits -  Life Insurance - new"/>
    <s v="Expense"/>
    <s v="Company"/>
    <n v="-12.66"/>
    <x v="5"/>
    <x v="2"/>
  </r>
  <r>
    <x v="12"/>
    <s v="61240 Employee Benefits - LTD"/>
    <s v="Expense"/>
    <s v="Company"/>
    <n v="61.12"/>
    <x v="5"/>
    <x v="2"/>
  </r>
  <r>
    <x v="12"/>
    <s v="61300 Employer Payroll Tax Expense"/>
    <s v="Expense"/>
    <s v="Company"/>
    <n v="3004.01"/>
    <x v="5"/>
    <x v="2"/>
  </r>
  <r>
    <x v="12"/>
    <s v="61510 Employee Benefit Programs - new"/>
    <s v="Expense"/>
    <s v="Company"/>
    <n v="916.66"/>
    <x v="10"/>
    <x v="2"/>
  </r>
  <r>
    <x v="12"/>
    <s v="63100 Professional Services"/>
    <s v="Expense"/>
    <s v="Company"/>
    <n v="18947.849999999999"/>
    <x v="6"/>
    <x v="2"/>
  </r>
  <r>
    <x v="12"/>
    <s v="63120 Accounting Services"/>
    <s v="Expense"/>
    <s v="Company"/>
    <n v="7400"/>
    <x v="6"/>
    <x v="2"/>
  </r>
  <r>
    <x v="12"/>
    <s v="63200 Employee Recruiting"/>
    <s v="Expense"/>
    <s v="Company"/>
    <n v="490.55"/>
    <x v="6"/>
    <x v="2"/>
  </r>
  <r>
    <x v="12"/>
    <s v="63400 Human Resources"/>
    <s v="Expense"/>
    <s v="Company"/>
    <n v="2432.5"/>
    <x v="6"/>
    <x v="2"/>
  </r>
  <r>
    <x v="12"/>
    <s v="63500 IT"/>
    <s v="Expense"/>
    <s v="Company"/>
    <n v="1914.95"/>
    <x v="6"/>
    <x v="2"/>
  </r>
  <r>
    <x v="12"/>
    <s v="63700 Marketing"/>
    <s v="Expense"/>
    <s v="Company"/>
    <n v="1922.5"/>
    <x v="6"/>
    <x v="2"/>
  </r>
  <r>
    <x v="12"/>
    <s v="65120 Hotels"/>
    <s v="Expense"/>
    <s v="Class A"/>
    <n v="763.03"/>
    <x v="12"/>
    <x v="2"/>
  </r>
  <r>
    <x v="12"/>
    <s v="65130 Ground Transportation"/>
    <s v="Expense"/>
    <s v="Class A"/>
    <n v="469.15"/>
    <x v="12"/>
    <x v="2"/>
  </r>
  <r>
    <x v="12"/>
    <s v="65140 Meals"/>
    <s v="Expense"/>
    <s v="Class A"/>
    <n v="207.68"/>
    <x v="12"/>
    <x v="2"/>
  </r>
  <r>
    <x v="12"/>
    <s v="66120 Hotels"/>
    <s v="Expense"/>
    <s v="Company"/>
    <n v="260"/>
    <x v="8"/>
    <x v="2"/>
  </r>
  <r>
    <x v="12"/>
    <s v="67110 Software &amp; Apps"/>
    <s v="Expense"/>
    <s v="Company"/>
    <n v="1530.78"/>
    <x v="9"/>
    <x v="2"/>
  </r>
  <r>
    <x v="12"/>
    <s v="67110 Software &amp; Apps"/>
    <s v="Expense"/>
    <s v="Class A"/>
    <n v="-131.79"/>
    <x v="9"/>
    <x v="2"/>
  </r>
  <r>
    <x v="12"/>
    <s v="67112 Bank Fees &amp; Service Charges"/>
    <s v="Expense"/>
    <s v="Company"/>
    <n v="796.35"/>
    <x v="10"/>
    <x v="2"/>
  </r>
  <r>
    <x v="12"/>
    <s v="67112 Bank Fees &amp; Service Charges"/>
    <s v="Expense"/>
    <s v="Class A"/>
    <n v="25"/>
    <x v="10"/>
    <x v="2"/>
  </r>
  <r>
    <x v="12"/>
    <s v="67126 Other G&amp;A"/>
    <s v="Expense"/>
    <s v="Company"/>
    <n v="8.0500000000000007"/>
    <x v="10"/>
    <x v="2"/>
  </r>
  <r>
    <x v="12"/>
    <s v="67220 Liability Insurance"/>
    <s v="Expense"/>
    <s v="Company"/>
    <n v="713.61"/>
    <x v="13"/>
    <x v="2"/>
  </r>
  <r>
    <x v="12"/>
    <s v="68100 Business Taxes"/>
    <s v="Expense"/>
    <s v="Company"/>
    <n v="67.87"/>
    <x v="14"/>
    <x v="2"/>
  </r>
  <r>
    <x v="13"/>
    <s v="41000 Class B Revenue"/>
    <s v="Income"/>
    <s v="Class B"/>
    <n v="112214.22"/>
    <x v="0"/>
    <x v="0"/>
  </r>
  <r>
    <x v="13"/>
    <s v="42000 Class A Revenue"/>
    <s v="Income"/>
    <s v="Class A"/>
    <n v="15718.04"/>
    <x v="1"/>
    <x v="0"/>
  </r>
  <r>
    <x v="13"/>
    <s v="43000 Client 1 Revenue"/>
    <s v="Income"/>
    <s v="Class A"/>
    <n v="21199.19"/>
    <x v="1"/>
    <x v="0"/>
  </r>
  <r>
    <x v="13"/>
    <s v="51100 Project Expenses - new"/>
    <s v="Cost of Goods Sold"/>
    <s v="Class A"/>
    <n v="4034.49"/>
    <x v="3"/>
    <x v="1"/>
  </r>
  <r>
    <x v="13"/>
    <s v="51100 Project Expenses - new"/>
    <s v="Cost of Goods Sold"/>
    <s v="Class B"/>
    <n v="800"/>
    <x v="3"/>
    <x v="1"/>
  </r>
  <r>
    <x v="13"/>
    <s v="53100 Salaries &amp; Wages (COS)"/>
    <s v="Cost of Goods Sold"/>
    <s v="Class A"/>
    <n v="18066.080000000002"/>
    <x v="4"/>
    <x v="1"/>
  </r>
  <r>
    <x v="13"/>
    <s v="53100 Salaries &amp; Wages (COS)"/>
    <s v="Cost of Goods Sold"/>
    <s v="Class B"/>
    <n v="10464.5"/>
    <x v="4"/>
    <x v="1"/>
  </r>
  <r>
    <x v="13"/>
    <s v="53110 Bonus &amp; Commission Expense"/>
    <s v="Cost of Goods Sold"/>
    <s v="Class A"/>
    <n v="8852.86"/>
    <x v="4"/>
    <x v="1"/>
  </r>
  <r>
    <x v="13"/>
    <s v="53110 Bonus &amp; Commission Expense"/>
    <s v="Cost of Goods Sold"/>
    <s v="Class B"/>
    <n v="2884.62"/>
    <x v="4"/>
    <x v="1"/>
  </r>
  <r>
    <x v="13"/>
    <s v="53200 Employee Benefits - Health"/>
    <s v="Cost of Goods Sold"/>
    <s v="Class B"/>
    <n v="2019.89"/>
    <x v="4"/>
    <x v="1"/>
  </r>
  <r>
    <x v="13"/>
    <s v="53200 Employee Benefits - Health"/>
    <s v="Cost of Goods Sold"/>
    <s v="Class A"/>
    <n v="3283.77"/>
    <x v="4"/>
    <x v="1"/>
  </r>
  <r>
    <x v="13"/>
    <s v="53230 Employee Benefits -  Life Insurance"/>
    <s v="Cost of Goods Sold"/>
    <s v="Class A"/>
    <n v="-138.72"/>
    <x v="4"/>
    <x v="1"/>
  </r>
  <r>
    <x v="13"/>
    <s v="53240 Employee Benefits - LTD"/>
    <s v="Cost of Goods Sold"/>
    <s v="Class B"/>
    <n v="50.38"/>
    <x v="4"/>
    <x v="1"/>
  </r>
  <r>
    <x v="13"/>
    <s v="53240 Employee Benefits - LTD"/>
    <s v="Cost of Goods Sold"/>
    <s v="Class A"/>
    <n v="80.91"/>
    <x v="4"/>
    <x v="1"/>
  </r>
  <r>
    <x v="13"/>
    <s v="53300 Payroll Expense - Employer Payroll Tax Expense"/>
    <s v="Cost of Goods Sold"/>
    <s v="Class B"/>
    <n v="1029.3800000000001"/>
    <x v="4"/>
    <x v="1"/>
  </r>
  <r>
    <x v="13"/>
    <s v="53300 Payroll Expense - Employer Payroll Tax Expense"/>
    <s v="Cost of Goods Sold"/>
    <s v="Class A"/>
    <n v="2018.45"/>
    <x v="4"/>
    <x v="1"/>
  </r>
  <r>
    <x v="13"/>
    <s v="61100 Salaries &amp; Wages"/>
    <s v="Expense"/>
    <s v="Company"/>
    <n v="23256.92"/>
    <x v="5"/>
    <x v="2"/>
  </r>
  <r>
    <x v="13"/>
    <s v="61110 Bonus &amp; Commission Expense - new"/>
    <s v="Expense"/>
    <s v="Company"/>
    <n v="11741.85"/>
    <x v="5"/>
    <x v="2"/>
  </r>
  <r>
    <x v="13"/>
    <s v="61120 Guaranteed Payments - new"/>
    <s v="Expense"/>
    <s v="Company"/>
    <n v="16324.58"/>
    <x v="5"/>
    <x v="2"/>
  </r>
  <r>
    <x v="13"/>
    <s v="61200 Employee Benefits - Health - new"/>
    <s v="Expense"/>
    <s v="Company"/>
    <n v="2096.3000000000002"/>
    <x v="5"/>
    <x v="2"/>
  </r>
  <r>
    <x v="13"/>
    <s v="61230 Employee Benefits -  Life Insurance - new"/>
    <s v="Expense"/>
    <s v="Company"/>
    <n v="-11.08"/>
    <x v="5"/>
    <x v="2"/>
  </r>
  <r>
    <x v="13"/>
    <s v="61240 Employee Benefits - LTD"/>
    <s v="Expense"/>
    <s v="Company"/>
    <n v="84.4"/>
    <x v="5"/>
    <x v="2"/>
  </r>
  <r>
    <x v="13"/>
    <s v="61300 Employer Payroll Tax Expense"/>
    <s v="Expense"/>
    <s v="Company"/>
    <n v="2656.69"/>
    <x v="5"/>
    <x v="2"/>
  </r>
  <r>
    <x v="13"/>
    <s v="63100 Professional Services"/>
    <s v="Expense"/>
    <s v="Company"/>
    <n v="1225"/>
    <x v="6"/>
    <x v="2"/>
  </r>
  <r>
    <x v="13"/>
    <s v="63120 Accounting Services"/>
    <s v="Expense"/>
    <s v="Company"/>
    <n v="5500"/>
    <x v="6"/>
    <x v="2"/>
  </r>
  <r>
    <x v="13"/>
    <s v="63200 Employee Recruiting"/>
    <s v="Expense"/>
    <s v="Company"/>
    <n v="393.18"/>
    <x v="6"/>
    <x v="2"/>
  </r>
  <r>
    <x v="13"/>
    <s v="63400 Human Resources"/>
    <s v="Expense"/>
    <s v="Company"/>
    <n v="2245"/>
    <x v="6"/>
    <x v="2"/>
  </r>
  <r>
    <x v="13"/>
    <s v="63500 IT"/>
    <s v="Expense"/>
    <s v="Company"/>
    <n v="2140.25"/>
    <x v="6"/>
    <x v="2"/>
  </r>
  <r>
    <x v="13"/>
    <s v="65120 Hotels"/>
    <s v="Expense"/>
    <s v="Class A"/>
    <n v="1072.21"/>
    <x v="12"/>
    <x v="2"/>
  </r>
  <r>
    <x v="13"/>
    <s v="66110 Airfare"/>
    <s v="Expense"/>
    <s v="Company"/>
    <n v="1118.3499999999999"/>
    <x v="8"/>
    <x v="2"/>
  </r>
  <r>
    <x v="13"/>
    <s v="66120 Hotels"/>
    <s v="Expense"/>
    <s v="Company"/>
    <n v="3171"/>
    <x v="8"/>
    <x v="2"/>
  </r>
  <r>
    <x v="13"/>
    <s v="66140 Meals"/>
    <s v="Expense"/>
    <s v="Company"/>
    <n v="290.51"/>
    <x v="8"/>
    <x v="2"/>
  </r>
  <r>
    <x v="13"/>
    <s v="66150 Event Fees"/>
    <s v="Expense"/>
    <s v="Company"/>
    <n v="1595"/>
    <x v="8"/>
    <x v="2"/>
  </r>
  <r>
    <x v="13"/>
    <s v="67110 Software &amp; Apps"/>
    <s v="Expense"/>
    <s v="Company"/>
    <n v="2843.19"/>
    <x v="9"/>
    <x v="2"/>
  </r>
  <r>
    <x v="13"/>
    <s v="67110 Software &amp; Apps"/>
    <s v="Expense"/>
    <s v="Class A"/>
    <n v="-131.79"/>
    <x v="9"/>
    <x v="2"/>
  </r>
  <r>
    <x v="13"/>
    <s v="67112 Bank Fees &amp; Service Charges"/>
    <s v="Expense"/>
    <s v="Company"/>
    <n v="27.4"/>
    <x v="10"/>
    <x v="2"/>
  </r>
  <r>
    <x v="13"/>
    <s v="67119 Office Supplies"/>
    <s v="Expense"/>
    <s v="Company"/>
    <n v="40.86"/>
    <x v="10"/>
    <x v="2"/>
  </r>
  <r>
    <x v="13"/>
    <s v="67126 Other G&amp;A"/>
    <s v="Expense"/>
    <s v="Company"/>
    <n v="36.39"/>
    <x v="10"/>
    <x v="2"/>
  </r>
  <r>
    <x v="13"/>
    <s v="67126 Other G&amp;A"/>
    <s v="Expense"/>
    <s v="Class A"/>
    <n v="26.25"/>
    <x v="10"/>
    <x v="2"/>
  </r>
  <r>
    <x v="13"/>
    <s v="67220 Liability Insurance"/>
    <s v="Expense"/>
    <s v="Company"/>
    <n v="713.61"/>
    <x v="13"/>
    <x v="2"/>
  </r>
  <r>
    <x v="14"/>
    <s v="41000 Class B Revenue"/>
    <s v="Income"/>
    <s v="Class B"/>
    <n v="81007.69"/>
    <x v="0"/>
    <x v="0"/>
  </r>
  <r>
    <x v="14"/>
    <s v="42000 Class A Revenue"/>
    <s v="Income"/>
    <s v="Class A"/>
    <n v="40566.449999999997"/>
    <x v="1"/>
    <x v="0"/>
  </r>
  <r>
    <x v="14"/>
    <s v="43000 Client 1 Revenue"/>
    <s v="Income"/>
    <s v="Class A"/>
    <n v="9909"/>
    <x v="1"/>
    <x v="0"/>
  </r>
  <r>
    <x v="14"/>
    <s v="51100 Project Expenses - new"/>
    <s v="Cost of Goods Sold"/>
    <s v="Class B"/>
    <n v="6326.98"/>
    <x v="3"/>
    <x v="1"/>
  </r>
  <r>
    <x v="14"/>
    <s v="51100 Project Expenses - new"/>
    <s v="Cost of Goods Sold"/>
    <s v="Class A"/>
    <n v="1585.42"/>
    <x v="3"/>
    <x v="1"/>
  </r>
  <r>
    <x v="14"/>
    <s v="53100 Salaries &amp; Wages (COS)"/>
    <s v="Cost of Goods Sold"/>
    <s v="Class A"/>
    <n v="21932.77"/>
    <x v="4"/>
    <x v="1"/>
  </r>
  <r>
    <x v="14"/>
    <s v="53100 Salaries &amp; Wages (COS)"/>
    <s v="Cost of Goods Sold"/>
    <s v="Class B"/>
    <n v="12082.47"/>
    <x v="4"/>
    <x v="1"/>
  </r>
  <r>
    <x v="14"/>
    <s v="53200 Employee Benefits - Health"/>
    <s v="Cost of Goods Sold"/>
    <s v="Class B"/>
    <n v="5486.87"/>
    <x v="4"/>
    <x v="1"/>
  </r>
  <r>
    <x v="14"/>
    <s v="53200 Employee Benefits - Health"/>
    <s v="Cost of Goods Sold"/>
    <s v="Class A"/>
    <n v="6847.48"/>
    <x v="4"/>
    <x v="1"/>
  </r>
  <r>
    <x v="14"/>
    <s v="53230 Employee Benefits -  Life Insurance"/>
    <s v="Cost of Goods Sold"/>
    <s v="Class A"/>
    <n v="-153.6"/>
    <x v="4"/>
    <x v="1"/>
  </r>
  <r>
    <x v="14"/>
    <s v="53240 Employee Benefits - LTD"/>
    <s v="Cost of Goods Sold"/>
    <s v="Class B"/>
    <n v="43.44"/>
    <x v="4"/>
    <x v="1"/>
  </r>
  <r>
    <x v="14"/>
    <s v="53240 Employee Benefits - LTD"/>
    <s v="Cost of Goods Sold"/>
    <s v="Class A"/>
    <n v="68.13"/>
    <x v="4"/>
    <x v="1"/>
  </r>
  <r>
    <x v="14"/>
    <s v="53300 Payroll Expense - Employer Payroll Tax Expense"/>
    <s v="Cost of Goods Sold"/>
    <s v="Class B"/>
    <n v="897.69"/>
    <x v="4"/>
    <x v="1"/>
  </r>
  <r>
    <x v="14"/>
    <s v="53300 Payroll Expense - Employer Payroll Tax Expense"/>
    <s v="Cost of Goods Sold"/>
    <s v="Class A"/>
    <n v="1617.02"/>
    <x v="4"/>
    <x v="1"/>
  </r>
  <r>
    <x v="14"/>
    <s v="61100 Salaries &amp; Wages"/>
    <s v="Expense"/>
    <s v="Company"/>
    <n v="26602.89"/>
    <x v="5"/>
    <x v="2"/>
  </r>
  <r>
    <x v="14"/>
    <s v="61120 Guaranteed Payments - new"/>
    <s v="Expense"/>
    <s v="Company"/>
    <n v="18073.64"/>
    <x v="5"/>
    <x v="2"/>
  </r>
  <r>
    <x v="14"/>
    <s v="61200 Employee Benefits - Health - new"/>
    <s v="Expense"/>
    <s v="Company"/>
    <n v="8783.36"/>
    <x v="5"/>
    <x v="2"/>
  </r>
  <r>
    <x v="14"/>
    <s v="61230 Employee Benefits -  Life Insurance - new"/>
    <s v="Expense"/>
    <s v="Company"/>
    <n v="-12.27"/>
    <x v="5"/>
    <x v="2"/>
  </r>
  <r>
    <x v="14"/>
    <s v="61240 Employee Benefits - LTD"/>
    <s v="Expense"/>
    <s v="Company"/>
    <n v="59.21"/>
    <x v="5"/>
    <x v="2"/>
  </r>
  <r>
    <x v="14"/>
    <s v="61300 Employer Payroll Tax Expense"/>
    <s v="Expense"/>
    <s v="Company"/>
    <n v="1999.42"/>
    <x v="5"/>
    <x v="2"/>
  </r>
  <r>
    <x v="14"/>
    <s v="63120 Accounting Services"/>
    <s v="Expense"/>
    <s v="Company"/>
    <n v="8800"/>
    <x v="6"/>
    <x v="2"/>
  </r>
  <r>
    <x v="14"/>
    <s v="63400 Human Resources"/>
    <s v="Expense"/>
    <s v="Company"/>
    <n v="2697.9"/>
    <x v="6"/>
    <x v="2"/>
  </r>
  <r>
    <x v="14"/>
    <s v="63500 IT"/>
    <s v="Expense"/>
    <s v="Company"/>
    <n v="1887.8"/>
    <x v="6"/>
    <x v="2"/>
  </r>
  <r>
    <x v="14"/>
    <s v="64140 Meals"/>
    <s v="Expense"/>
    <s v="Company"/>
    <n v="28.88"/>
    <x v="7"/>
    <x v="2"/>
  </r>
  <r>
    <x v="14"/>
    <s v="65120 Hotels"/>
    <s v="Expense"/>
    <s v="Class A"/>
    <n v="373.04"/>
    <x v="12"/>
    <x v="2"/>
  </r>
  <r>
    <x v="14"/>
    <s v="65130 Ground Transportation"/>
    <s v="Expense"/>
    <s v="Company"/>
    <n v="22.12"/>
    <x v="12"/>
    <x v="2"/>
  </r>
  <r>
    <x v="14"/>
    <s v="65130 Ground Transportation"/>
    <s v="Expense"/>
    <s v="Class A"/>
    <n v="260.72000000000003"/>
    <x v="12"/>
    <x v="2"/>
  </r>
  <r>
    <x v="14"/>
    <s v="65140 Meals"/>
    <s v="Expense"/>
    <s v="Class A"/>
    <n v="41.5"/>
    <x v="12"/>
    <x v="2"/>
  </r>
  <r>
    <x v="14"/>
    <s v="66110 Airfare"/>
    <s v="Expense"/>
    <s v="Company"/>
    <n v="907.7"/>
    <x v="8"/>
    <x v="2"/>
  </r>
  <r>
    <x v="14"/>
    <s v="66120 Hotels"/>
    <s v="Expense"/>
    <s v="Company"/>
    <n v="587.16"/>
    <x v="8"/>
    <x v="2"/>
  </r>
  <r>
    <x v="14"/>
    <s v="66130 Ground Transportation"/>
    <s v="Expense"/>
    <s v="Company"/>
    <n v="526.75"/>
    <x v="8"/>
    <x v="2"/>
  </r>
  <r>
    <x v="14"/>
    <s v="66140 Meals"/>
    <s v="Expense"/>
    <s v="Company"/>
    <n v="211.62"/>
    <x v="8"/>
    <x v="2"/>
  </r>
  <r>
    <x v="14"/>
    <s v="66150 Event Fees"/>
    <s v="Expense"/>
    <s v="Company"/>
    <n v="2170"/>
    <x v="8"/>
    <x v="2"/>
  </r>
  <r>
    <x v="14"/>
    <s v="67110 Software &amp; Apps"/>
    <s v="Expense"/>
    <s v="Company"/>
    <n v="2605.5"/>
    <x v="9"/>
    <x v="2"/>
  </r>
  <r>
    <x v="14"/>
    <s v="67110 Software &amp; Apps"/>
    <s v="Expense"/>
    <s v="Class A"/>
    <n v="-115.31"/>
    <x v="9"/>
    <x v="2"/>
  </r>
  <r>
    <x v="14"/>
    <s v="67111 Website"/>
    <s v="Expense"/>
    <s v="Company"/>
    <n v="49.95"/>
    <x v="10"/>
    <x v="2"/>
  </r>
  <r>
    <x v="14"/>
    <s v="67112 Bank Fees &amp; Service Charges"/>
    <s v="Expense"/>
    <s v="Company"/>
    <n v="25.75"/>
    <x v="10"/>
    <x v="2"/>
  </r>
  <r>
    <x v="14"/>
    <s v="67117 Memberships Dues"/>
    <s v="Expense"/>
    <s v="Company"/>
    <n v="180"/>
    <x v="10"/>
    <x v="2"/>
  </r>
  <r>
    <x v="14"/>
    <s v="67117 Memberships Dues"/>
    <s v="Expense"/>
    <s v="Class A"/>
    <n v="320"/>
    <x v="10"/>
    <x v="2"/>
  </r>
  <r>
    <x v="14"/>
    <s v="67126 Other G&amp;A"/>
    <s v="Expense"/>
    <s v="Company"/>
    <n v="8.0500000000000007"/>
    <x v="10"/>
    <x v="2"/>
  </r>
  <r>
    <x v="14"/>
    <s v="67126 Other G&amp;A"/>
    <s v="Expense"/>
    <s v="Class A"/>
    <n v="272.5"/>
    <x v="10"/>
    <x v="2"/>
  </r>
  <r>
    <x v="14"/>
    <s v="67220 Liability Insurance"/>
    <s v="Expense"/>
    <s v="Company"/>
    <n v="713.61"/>
    <x v="13"/>
    <x v="2"/>
  </r>
  <r>
    <x v="14"/>
    <s v="67240 Cyber Insurance - new"/>
    <s v="Expense"/>
    <s v="Company"/>
    <n v="755.75"/>
    <x v="13"/>
    <x v="2"/>
  </r>
  <r>
    <x v="14"/>
    <s v="68105 Business Licenses &amp; Registration Fees"/>
    <s v="Expense"/>
    <s v="Company"/>
    <n v="400"/>
    <x v="10"/>
    <x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2">
  <r>
    <d v="2026-03-01T00:00:00"/>
    <d v="2026-03-31T00:00:00"/>
    <s v="Journal Entry"/>
    <s v="Intentionally left blank for demo"/>
    <s v="53100 Salaries &amp; Wages (COS)"/>
    <n v="53100"/>
    <s v="Cost of Goods Sold"/>
    <s v="CostOfLaborCos"/>
    <x v="0"/>
    <s v="Intentionally left blank for demo"/>
    <s v="-Split-"/>
    <n v="-4862.17"/>
    <n v="55197.279999999999"/>
    <x v="0"/>
    <x v="0"/>
    <x v="0"/>
  </r>
  <r>
    <d v="2026-03-01T00:00:00"/>
    <d v="2026-03-31T00:00:00"/>
    <s v="Journal Entry"/>
    <s v="Intentionally left blank for demo"/>
    <s v="53100 Salaries &amp; Wages (COS)"/>
    <n v="53100"/>
    <s v="Cost of Goods Sold"/>
    <s v="CostOfLaborCos"/>
    <x v="1"/>
    <s v="Intentionally left blank for demo"/>
    <s v="-Split-"/>
    <n v="-2728.58"/>
    <n v="52468.7"/>
    <x v="1"/>
    <x v="0"/>
    <x v="0"/>
  </r>
  <r>
    <d v="2026-03-01T00:00:00"/>
    <d v="2026-03-31T00:00:00"/>
    <s v="Journal Entry"/>
    <s v="Intentionally left blank for demo"/>
    <s v="53200 Employee Benefits - Health"/>
    <n v="53200"/>
    <s v="Cost of Goods Sold"/>
    <s v="CostOfLaborCos"/>
    <x v="1"/>
    <s v="Intentionally left blank for demo"/>
    <s v="-Split-"/>
    <n v="-509.34"/>
    <n v="14086.87"/>
    <x v="1"/>
    <x v="0"/>
    <x v="0"/>
  </r>
  <r>
    <d v="2026-03-01T00:00:00"/>
    <d v="2026-03-31T00:00:00"/>
    <s v="Journal Entry"/>
    <s v="Intentionally left blank for demo"/>
    <s v="53200 Employee Benefits - Health"/>
    <n v="53200"/>
    <s v="Cost of Goods Sold"/>
    <s v="CostOfLaborCos"/>
    <x v="0"/>
    <s v="Intentionally left blank for demo"/>
    <s v="-Split-"/>
    <n v="-816.58"/>
    <n v="13270.29"/>
    <x v="0"/>
    <x v="0"/>
    <x v="0"/>
  </r>
  <r>
    <d v="2026-03-01T00:00:00"/>
    <d v="2026-03-31T00:00:00"/>
    <s v="Journal Entry"/>
    <s v="Intentionally left blank for demo"/>
    <s v="53230 Employee Benefits -  Life Insurance"/>
    <n v="53230"/>
    <s v="Cost of Goods Sold"/>
    <s v="CostOfLaborCos"/>
    <x v="0"/>
    <s v="Intentionally left blank for demo"/>
    <s v="-Split-"/>
    <n v="34.69"/>
    <n v="-262.61"/>
    <x v="0"/>
    <x v="0"/>
    <x v="0"/>
  </r>
  <r>
    <d v="2026-03-01T00:00:00"/>
    <d v="2026-03-31T00:00:00"/>
    <s v="Journal Entry"/>
    <s v="Intentionally left blank for demo"/>
    <s v="53240 Employee Benefits - LTD"/>
    <n v="53240"/>
    <s v="Cost of Goods Sold"/>
    <s v="CostOfLaborCos"/>
    <x v="1"/>
    <s v="Intentionally left blank for demo"/>
    <s v="-Split-"/>
    <n v="-9.81"/>
    <n v="236.66"/>
    <x v="1"/>
    <x v="0"/>
    <x v="0"/>
  </r>
  <r>
    <d v="2026-03-01T00:00:00"/>
    <d v="2026-03-31T00:00:00"/>
    <s v="Journal Entry"/>
    <s v="Intentionally left blank for demo"/>
    <s v="53240 Employee Benefits - LTD"/>
    <n v="53240"/>
    <s v="Cost of Goods Sold"/>
    <s v="CostOfLaborCos"/>
    <x v="0"/>
    <s v="Intentionally left blank for demo"/>
    <s v="-Split-"/>
    <n v="-15.39"/>
    <n v="221.27"/>
    <x v="0"/>
    <x v="0"/>
    <x v="0"/>
  </r>
  <r>
    <d v="2026-03-01T00:00:00"/>
    <d v="2026-03-31T00:00:00"/>
    <s v="Journal Entry"/>
    <s v="Intentionally left blank for demo"/>
    <s v="53300 Payroll Expense - Employer Payroll Tax Expense"/>
    <n v="53300"/>
    <s v="Cost of Goods Sold"/>
    <s v="CostOfLaborCos"/>
    <x v="1"/>
    <s v="Intentionally left blank for demo"/>
    <s v="-Split-"/>
    <n v="-202.73"/>
    <n v="5758.77"/>
    <x v="1"/>
    <x v="0"/>
    <x v="0"/>
  </r>
  <r>
    <d v="2026-03-01T00:00:00"/>
    <d v="2026-03-31T00:00:00"/>
    <s v="Journal Entry"/>
    <s v="Intentionally left blank for demo"/>
    <s v="53300 Payroll Expense - Employer Payroll Tax Expense"/>
    <n v="53300"/>
    <s v="Cost of Goods Sold"/>
    <s v="CostOfLaborCos"/>
    <x v="0"/>
    <s v="Intentionally left blank for demo"/>
    <s v="-Split-"/>
    <n v="-358.22"/>
    <n v="5400.55"/>
    <x v="0"/>
    <x v="0"/>
    <x v="0"/>
  </r>
  <r>
    <d v="2026-03-01T00:00:00"/>
    <d v="2026-03-31T00:00:00"/>
    <s v="Journal Entry"/>
    <s v="Intentionally left blank for demo"/>
    <s v="61100 Salaries &amp; Wages"/>
    <n v="61100"/>
    <s v="Expense"/>
    <s v="PayrollExpenses"/>
    <x v="2"/>
    <s v="Intentionally left blank for demo"/>
    <s v="-Split-"/>
    <n v="-5765.13"/>
    <n v="42481.99"/>
    <x v="2"/>
    <x v="1"/>
    <x v="1"/>
  </r>
  <r>
    <d v="2026-03-01T00:00:00"/>
    <d v="2026-03-31T00:00:00"/>
    <s v="Journal Entry"/>
    <s v="Intentionally left blank for demo"/>
    <s v="61120 Guaranteed Payments - new"/>
    <n v="61120"/>
    <s v="Expense"/>
    <s v="PayrollExpenses"/>
    <x v="2"/>
    <s v="Intentionally left blank for demo"/>
    <s v="-Split-"/>
    <n v="-4081.15"/>
    <n v="30900.1"/>
    <x v="2"/>
    <x v="1"/>
    <x v="1"/>
  </r>
  <r>
    <d v="2026-03-01T00:00:00"/>
    <d v="2026-03-31T00:00:00"/>
    <s v="Journal Entry"/>
    <s v="Intentionally left blank for demo"/>
    <s v="61200 Employee Benefits - Health - new"/>
    <n v="61200"/>
    <s v="Expense"/>
    <s v="PayrollExpenses"/>
    <x v="2"/>
    <s v="Intentionally left blank for demo"/>
    <s v="-Split-"/>
    <n v="-524.08000000000004"/>
    <n v="7199.23"/>
    <x v="2"/>
    <x v="1"/>
    <x v="1"/>
  </r>
  <r>
    <d v="2026-03-01T00:00:00"/>
    <d v="2026-03-31T00:00:00"/>
    <s v="Journal Entry"/>
    <s v="Intentionally left blank for demo"/>
    <s v="61230 Employee Benefits -  Life Insurance - new"/>
    <n v="61230"/>
    <s v="Expense"/>
    <s v="PayrollExpenses"/>
    <x v="2"/>
    <s v="Intentionally left blank for demo"/>
    <s v="-Split-"/>
    <n v="2.77"/>
    <n v="-20.97"/>
    <x v="2"/>
    <x v="1"/>
    <x v="1"/>
  </r>
  <r>
    <d v="2026-03-01T00:00:00"/>
    <d v="2026-03-31T00:00:00"/>
    <s v="Journal Entry"/>
    <s v="Intentionally left blank for demo"/>
    <s v="61240 Employee Benefits - LTD"/>
    <n v="61240"/>
    <s v="Expense"/>
    <s v="AdvertisingPromotional"/>
    <x v="2"/>
    <s v="Intentionally left blank for demo"/>
    <s v="-Split-"/>
    <n v="-13.37"/>
    <n v="132.15"/>
    <x v="2"/>
    <x v="1"/>
    <x v="1"/>
  </r>
  <r>
    <d v="2026-03-01T00:00:00"/>
    <d v="2026-03-31T00:00:00"/>
    <s v="Journal Entry"/>
    <s v="Intentionally left blank for demo"/>
    <s v="61300 Employer Payroll Tax Expense"/>
    <n v="61300"/>
    <s v="Expense"/>
    <s v="PayrollExpenses"/>
    <x v="2"/>
    <s v="Intentionally left blank for demo"/>
    <s v="-Split-"/>
    <n v="-433.74"/>
    <n v="5226.96"/>
    <x v="2"/>
    <x v="1"/>
    <x v="1"/>
  </r>
  <r>
    <d v="2026-03-01T00:00:00"/>
    <d v="2026-03-31T00:00:00"/>
    <s v="Bill"/>
    <s v="Intentionally left blank for demo"/>
    <s v="63500 IT"/>
    <n v="63500"/>
    <s v="Expense"/>
    <s v="LegalProfessionalFees"/>
    <x v="3"/>
    <s v="Intentionally left blank for demo"/>
    <s v="21000 Accounts Payable (A/P)"/>
    <n v="1887.8"/>
    <n v="5943"/>
    <x v="2"/>
    <x v="2"/>
    <x v="1"/>
  </r>
  <r>
    <d v="2026-03-01T00:00:00"/>
    <d v="2026-03-31T00:00:00"/>
    <s v="Expense"/>
    <s v="Intentionally left blank for demo"/>
    <s v="65140 Meals"/>
    <n v="65140"/>
    <s v="Expense"/>
    <s v="TravelMeals"/>
    <x v="4"/>
    <s v="Intentionally left blank for demo"/>
    <s v="21210 Corporate Credit Card 1"/>
    <n v="28.11"/>
    <n v="235.79"/>
    <x v="0"/>
    <x v="3"/>
    <x v="1"/>
  </r>
  <r>
    <d v="2026-03-01T00:00:00"/>
    <d v="2026-03-31T00:00:00"/>
    <s v="Expense"/>
    <s v="Intentionally left blank for demo"/>
    <s v="66140 Meals"/>
    <n v="66140"/>
    <s v="Expense"/>
    <s v="TravelMeals"/>
    <x v="5"/>
    <s v="Intentionally left blank for demo"/>
    <s v="21210 Corporate Credit Card 1"/>
    <n v="19.239999999999998"/>
    <n v="309.75"/>
    <x v="2"/>
    <x v="4"/>
    <x v="1"/>
  </r>
  <r>
    <d v="2026-03-02T00:00:00"/>
    <d v="2026-03-31T00:00:00"/>
    <s v="Invoice"/>
    <s v="Intentionally left blank for demo"/>
    <s v="41000 Class B Revenue"/>
    <n v="41000"/>
    <s v="Income"/>
    <s v="ServiceFeeIncome"/>
    <x v="6"/>
    <s v="Intentionally left blank for demo"/>
    <s v="12100 Accounts Receivable (A/R)"/>
    <n v="337.5"/>
    <n v="238393.44"/>
    <x v="1"/>
    <x v="5"/>
    <x v="2"/>
  </r>
  <r>
    <d v="2026-03-02T00:00:00"/>
    <d v="2026-03-31T00:00:00"/>
    <s v="Invoice"/>
    <s v="Intentionally left blank for demo"/>
    <s v="41000 Class B Revenue"/>
    <n v="41000"/>
    <s v="Income"/>
    <s v="ServiceFeeIncome"/>
    <x v="7"/>
    <s v="Intentionally left blank for demo"/>
    <s v="12100 Accounts Receivable (A/R)"/>
    <n v="3540"/>
    <n v="241933.44"/>
    <x v="1"/>
    <x v="5"/>
    <x v="2"/>
  </r>
  <r>
    <d v="2026-03-02T00:00:00"/>
    <d v="2026-03-31T00:00:00"/>
    <s v="Invoice"/>
    <s v="Intentionally left blank for demo"/>
    <s v="41000 Class B Revenue"/>
    <n v="41000"/>
    <s v="Income"/>
    <s v="ServiceFeeIncome"/>
    <x v="8"/>
    <s v="Intentionally left blank for demo"/>
    <s v="12100 Accounts Receivable (A/R)"/>
    <n v="125"/>
    <n v="242058.44"/>
    <x v="1"/>
    <x v="5"/>
    <x v="2"/>
  </r>
  <r>
    <d v="2026-03-02T00:00:00"/>
    <d v="2026-03-31T00:00:00"/>
    <s v="Invoice"/>
    <s v="Intentionally left blank for demo"/>
    <s v="41000 Class B Revenue"/>
    <n v="41000"/>
    <s v="Income"/>
    <s v="ServiceFeeIncome"/>
    <x v="6"/>
    <s v="Intentionally left blank for demo"/>
    <s v="12100 Accounts Receivable (A/R)"/>
    <n v="125"/>
    <n v="242183.44"/>
    <x v="1"/>
    <x v="5"/>
    <x v="2"/>
  </r>
  <r>
    <d v="2026-03-02T00:00:00"/>
    <d v="2026-03-31T00:00:00"/>
    <s v="Invoice"/>
    <s v="Intentionally left blank for demo"/>
    <s v="41000 Class B Revenue"/>
    <n v="41000"/>
    <s v="Income"/>
    <s v="ServiceFeeIncome"/>
    <x v="7"/>
    <s v="Intentionally left blank for demo"/>
    <s v="12100 Accounts Receivable (A/R)"/>
    <n v="200"/>
    <n v="242383.44"/>
    <x v="1"/>
    <x v="5"/>
    <x v="2"/>
  </r>
  <r>
    <d v="2026-03-02T00:00:00"/>
    <d v="2026-03-31T00:00:00"/>
    <s v="Invoice"/>
    <s v="Intentionally left blank for demo"/>
    <s v="41000 Class B Revenue"/>
    <n v="41000"/>
    <s v="Income"/>
    <s v="ServiceFeeIncome"/>
    <x v="8"/>
    <s v="Intentionally left blank for demo"/>
    <s v="12100 Accounts Receivable (A/R)"/>
    <n v="300"/>
    <n v="242683.44"/>
    <x v="1"/>
    <x v="5"/>
    <x v="2"/>
  </r>
  <r>
    <d v="2026-03-02T00:00:00"/>
    <d v="2026-03-31T00:00:00"/>
    <s v="Invoice"/>
    <s v="Intentionally left blank for demo"/>
    <s v="41000 Class B Revenue"/>
    <n v="41000"/>
    <s v="Income"/>
    <s v="ServiceFeeIncome"/>
    <x v="6"/>
    <s v="Intentionally left blank for demo"/>
    <s v="12100 Accounts Receivable (A/R)"/>
    <n v="3360"/>
    <n v="246043.44"/>
    <x v="1"/>
    <x v="5"/>
    <x v="2"/>
  </r>
  <r>
    <d v="2026-03-02T00:00:00"/>
    <d v="2026-03-31T00:00:00"/>
    <s v="Invoice"/>
    <s v="Intentionally left blank for demo"/>
    <s v="41000 Class B Revenue"/>
    <n v="41000"/>
    <s v="Income"/>
    <s v="ServiceFeeIncome"/>
    <x v="7"/>
    <s v="Intentionally left blank for demo"/>
    <s v="12100 Accounts Receivable (A/R)"/>
    <n v="610"/>
    <n v="246653.44"/>
    <x v="1"/>
    <x v="5"/>
    <x v="2"/>
  </r>
  <r>
    <d v="2026-03-02T00:00:00"/>
    <d v="2026-03-31T00:00:00"/>
    <s v="Invoice"/>
    <s v="Intentionally left blank for demo"/>
    <s v="41000 Class B Revenue"/>
    <n v="41000"/>
    <s v="Income"/>
    <s v="ServiceFeeIncome"/>
    <x v="8"/>
    <s v="Intentionally left blank for demo"/>
    <s v="12100 Accounts Receivable (A/R)"/>
    <n v="300"/>
    <n v="246953.44"/>
    <x v="1"/>
    <x v="5"/>
    <x v="2"/>
  </r>
  <r>
    <d v="2026-03-02T00:00:00"/>
    <d v="2026-03-31T00:00:00"/>
    <s v="Invoice"/>
    <s v="Intentionally left blank for demo"/>
    <s v="41000 Class B Revenue"/>
    <n v="41000"/>
    <s v="Income"/>
    <s v="ServiceFeeIncome"/>
    <x v="6"/>
    <s v="Intentionally left blank for demo"/>
    <s v="12100 Accounts Receivable (A/R)"/>
    <n v="1500"/>
    <n v="248453.44"/>
    <x v="1"/>
    <x v="5"/>
    <x v="2"/>
  </r>
  <r>
    <d v="2026-03-02T00:00:00"/>
    <d v="2026-03-31T00:00:00"/>
    <s v="Invoice"/>
    <s v="Intentionally left blank for demo"/>
    <s v="41000 Class B Revenue"/>
    <n v="41000"/>
    <s v="Income"/>
    <s v="ServiceFeeIncome"/>
    <x v="7"/>
    <s v="Intentionally left blank for demo"/>
    <s v="12100 Accounts Receivable (A/R)"/>
    <n v="675"/>
    <n v="249128.44"/>
    <x v="1"/>
    <x v="5"/>
    <x v="2"/>
  </r>
  <r>
    <d v="2026-03-02T00:00:00"/>
    <d v="2026-03-31T00:00:00"/>
    <s v="Invoice"/>
    <s v="Intentionally left blank for demo"/>
    <s v="41000 Class B Revenue"/>
    <n v="41000"/>
    <s v="Income"/>
    <s v="ServiceFeeIncome"/>
    <x v="8"/>
    <s v="Intentionally left blank for demo"/>
    <s v="12100 Accounts Receivable (A/R)"/>
    <n v="-371.25"/>
    <n v="248757.19"/>
    <x v="1"/>
    <x v="5"/>
    <x v="2"/>
  </r>
  <r>
    <d v="2026-03-02T00:00:00"/>
    <d v="2026-03-31T00:00:00"/>
    <s v="Invoice"/>
    <s v="Intentionally left blank for demo"/>
    <s v="41000 Class B Revenue"/>
    <n v="41000"/>
    <s v="Income"/>
    <s v="ServiceFeeIncome"/>
    <x v="6"/>
    <s v="Intentionally left blank for demo"/>
    <s v="12100 Accounts Receivable (A/R)"/>
    <n v="950"/>
    <n v="249707.19"/>
    <x v="1"/>
    <x v="5"/>
    <x v="2"/>
  </r>
  <r>
    <d v="2026-03-02T00:00:00"/>
    <d v="2026-03-31T00:00:00"/>
    <s v="Invoice"/>
    <s v="Intentionally left blank for demo"/>
    <s v="41000 Class B Revenue"/>
    <n v="41000"/>
    <s v="Income"/>
    <s v="ServiceFeeIncome"/>
    <x v="7"/>
    <s v="Intentionally left blank for demo"/>
    <s v="12100 Accounts Receivable (A/R)"/>
    <n v="225"/>
    <n v="249932.19"/>
    <x v="1"/>
    <x v="5"/>
    <x v="2"/>
  </r>
  <r>
    <d v="2026-03-02T00:00:00"/>
    <d v="2026-03-31T00:00:00"/>
    <s v="Invoice"/>
    <s v="Intentionally left blank for demo"/>
    <s v="41000 Class B Revenue"/>
    <n v="41000"/>
    <s v="Income"/>
    <s v="ServiceFeeIncome"/>
    <x v="8"/>
    <s v="Intentionally left blank for demo"/>
    <s v="12100 Accounts Receivable (A/R)"/>
    <n v="350"/>
    <n v="250282.19"/>
    <x v="1"/>
    <x v="5"/>
    <x v="2"/>
  </r>
  <r>
    <d v="2026-03-02T00:00:00"/>
    <d v="2026-03-31T00:00:00"/>
    <s v="Invoice"/>
    <s v="Intentionally left blank for demo"/>
    <s v="41000 Class B Revenue"/>
    <n v="41000"/>
    <s v="Income"/>
    <s v="ServiceFeeIncome"/>
    <x v="6"/>
    <s v="Intentionally left blank for demo"/>
    <s v="12100 Accounts Receivable (A/R)"/>
    <n v="750"/>
    <n v="251032.19"/>
    <x v="1"/>
    <x v="5"/>
    <x v="2"/>
  </r>
  <r>
    <d v="2026-03-02T00:00:00"/>
    <d v="2026-03-31T00:00:00"/>
    <s v="Invoice"/>
    <s v="Intentionally left blank for demo"/>
    <s v="41000 Class B Revenue"/>
    <n v="41000"/>
    <s v="Income"/>
    <s v="ServiceFeeIncome"/>
    <x v="7"/>
    <s v="Intentionally left blank for demo"/>
    <s v="12100 Accounts Receivable (A/R)"/>
    <n v="250"/>
    <n v="251282.19"/>
    <x v="1"/>
    <x v="5"/>
    <x v="2"/>
  </r>
  <r>
    <d v="2026-03-02T00:00:00"/>
    <d v="2026-03-31T00:00:00"/>
    <s v="Invoice"/>
    <s v="Intentionally left blank for demo"/>
    <s v="41000 Class B Revenue"/>
    <n v="41000"/>
    <s v="Income"/>
    <s v="ServiceFeeIncome"/>
    <x v="8"/>
    <s v="Intentionally left blank for demo"/>
    <s v="12100 Accounts Receivable (A/R)"/>
    <n v="12337.5"/>
    <n v="263619.69"/>
    <x v="1"/>
    <x v="5"/>
    <x v="2"/>
  </r>
  <r>
    <d v="2026-03-02T00:00:00"/>
    <d v="2026-03-31T00:00:00"/>
    <s v="Invoice"/>
    <s v="Intentionally left blank for demo"/>
    <s v="41000 Class B Revenue"/>
    <n v="41000"/>
    <s v="Income"/>
    <s v="ServiceFeeIncome"/>
    <x v="6"/>
    <s v="Intentionally left blank for demo"/>
    <s v="12100 Accounts Receivable (A/R)"/>
    <n v="675"/>
    <n v="264294.69"/>
    <x v="1"/>
    <x v="5"/>
    <x v="2"/>
  </r>
  <r>
    <d v="2026-03-02T00:00:00"/>
    <d v="2026-03-31T00:00:00"/>
    <s v="Invoice"/>
    <s v="Intentionally left blank for demo"/>
    <s v="41000 Class B Revenue"/>
    <n v="41000"/>
    <s v="Income"/>
    <s v="ServiceFeeIncome"/>
    <x v="7"/>
    <s v="Intentionally left blank for demo"/>
    <s v="12100 Accounts Receivable (A/R)"/>
    <n v="500"/>
    <n v="264794.69"/>
    <x v="1"/>
    <x v="5"/>
    <x v="2"/>
  </r>
  <r>
    <d v="2026-03-02T00:00:00"/>
    <d v="2026-03-31T00:00:00"/>
    <s v="Invoice"/>
    <s v="Intentionally left blank for demo"/>
    <s v="41000 Class B Revenue"/>
    <n v="41000"/>
    <s v="Income"/>
    <s v="ServiceFeeIncome"/>
    <x v="8"/>
    <s v="Intentionally left blank for demo"/>
    <s v="12100 Accounts Receivable (A/R)"/>
    <n v="216"/>
    <n v="265010.69"/>
    <x v="1"/>
    <x v="5"/>
    <x v="2"/>
  </r>
  <r>
    <d v="2026-03-02T00:00:00"/>
    <d v="2026-03-31T00:00:00"/>
    <s v="Invoice"/>
    <s v="Intentionally left blank for demo"/>
    <s v="41000 Class B Revenue"/>
    <n v="41000"/>
    <s v="Income"/>
    <s v="ServiceFeeIncome"/>
    <x v="6"/>
    <s v="Intentionally left blank for demo"/>
    <s v="12100 Accounts Receivable (A/R)"/>
    <n v="400"/>
    <n v="265410.69"/>
    <x v="1"/>
    <x v="5"/>
    <x v="2"/>
  </r>
  <r>
    <d v="2026-03-02T00:00:00"/>
    <d v="2026-03-31T00:00:00"/>
    <s v="Invoice"/>
    <s v="Intentionally left blank for demo"/>
    <s v="41000 Class B Revenue"/>
    <n v="41000"/>
    <s v="Income"/>
    <s v="ServiceFeeIncome"/>
    <x v="7"/>
    <s v="Intentionally left blank for demo"/>
    <s v="12100 Accounts Receivable (A/R)"/>
    <n v="600"/>
    <n v="266010.69"/>
    <x v="1"/>
    <x v="5"/>
    <x v="2"/>
  </r>
  <r>
    <d v="2026-03-02T00:00:00"/>
    <d v="2026-03-31T00:00:00"/>
    <s v="Invoice"/>
    <s v="Intentionally left blank for demo"/>
    <s v="41000 Class B Revenue"/>
    <n v="41000"/>
    <s v="Income"/>
    <s v="ServiceFeeIncome"/>
    <x v="8"/>
    <s v="Intentionally left blank for demo"/>
    <s v="12100 Accounts Receivable (A/R)"/>
    <n v="100"/>
    <n v="266110.69"/>
    <x v="1"/>
    <x v="5"/>
    <x v="2"/>
  </r>
  <r>
    <d v="2026-03-02T00:00:00"/>
    <d v="2026-03-31T00:00:00"/>
    <s v="Invoice"/>
    <s v="Intentionally left blank for demo"/>
    <s v="41000 Class B Revenue"/>
    <n v="41000"/>
    <s v="Income"/>
    <s v="ServiceFeeIncome"/>
    <x v="6"/>
    <s v="Intentionally left blank for demo"/>
    <s v="12100 Accounts Receivable (A/R)"/>
    <n v="225"/>
    <n v="266335.69"/>
    <x v="1"/>
    <x v="5"/>
    <x v="2"/>
  </r>
  <r>
    <d v="2026-03-02T00:00:00"/>
    <d v="2026-03-31T00:00:00"/>
    <s v="Invoice"/>
    <s v="Intentionally left blank for demo"/>
    <s v="41000 Class B Revenue"/>
    <n v="41000"/>
    <s v="Income"/>
    <s v="ServiceFeeIncome"/>
    <x v="7"/>
    <s v="Intentionally left blank for demo"/>
    <s v="12100 Accounts Receivable (A/R)"/>
    <n v="450"/>
    <n v="266785.69"/>
    <x v="1"/>
    <x v="5"/>
    <x v="2"/>
  </r>
  <r>
    <d v="2026-03-02T00:00:00"/>
    <d v="2026-03-31T00:00:00"/>
    <s v="Invoice"/>
    <s v="Intentionally left blank for demo"/>
    <s v="41000 Class B Revenue"/>
    <n v="41000"/>
    <s v="Income"/>
    <s v="ServiceFeeIncome"/>
    <x v="8"/>
    <s v="Intentionally left blank for demo"/>
    <s v="12100 Accounts Receivable (A/R)"/>
    <n v="225"/>
    <n v="267010.69"/>
    <x v="1"/>
    <x v="5"/>
    <x v="2"/>
  </r>
  <r>
    <d v="2026-03-02T00:00:00"/>
    <d v="2026-03-31T00:00:00"/>
    <s v="Invoice"/>
    <s v="Intentionally left blank for demo"/>
    <s v="41000 Class B Revenue"/>
    <n v="41000"/>
    <s v="Income"/>
    <s v="ServiceFeeIncome"/>
    <x v="6"/>
    <s v="Intentionally left blank for demo"/>
    <s v="12100 Accounts Receivable (A/R)"/>
    <n v="1300"/>
    <n v="268310.69"/>
    <x v="1"/>
    <x v="5"/>
    <x v="2"/>
  </r>
  <r>
    <d v="2026-03-02T00:00:00"/>
    <d v="2026-03-31T00:00:00"/>
    <s v="Invoice"/>
    <s v="Intentionally left blank for demo"/>
    <s v="41000 Class B Revenue"/>
    <n v="41000"/>
    <s v="Income"/>
    <s v="ServiceFeeIncome"/>
    <x v="7"/>
    <s v="Intentionally left blank for demo"/>
    <s v="12100 Accounts Receivable (A/R)"/>
    <n v="2400"/>
    <n v="270710.69"/>
    <x v="1"/>
    <x v="5"/>
    <x v="2"/>
  </r>
  <r>
    <d v="2026-03-02T00:00:00"/>
    <d v="2026-03-31T00:00:00"/>
    <s v="Invoice"/>
    <s v="Intentionally left blank for demo"/>
    <s v="41000 Class B Revenue"/>
    <n v="41000"/>
    <s v="Income"/>
    <s v="ServiceFeeIncome"/>
    <x v="8"/>
    <s v="Intentionally left blank for demo"/>
    <s v="12100 Accounts Receivable (A/R)"/>
    <n v="400"/>
    <n v="271110.69"/>
    <x v="1"/>
    <x v="5"/>
    <x v="2"/>
  </r>
  <r>
    <d v="2026-03-02T00:00:00"/>
    <d v="2026-03-31T00:00:00"/>
    <s v="Invoice"/>
    <s v="Intentionally left blank for demo"/>
    <s v="41000 Class B Revenue"/>
    <n v="41000"/>
    <s v="Income"/>
    <s v="ServiceFeeIncome"/>
    <x v="6"/>
    <s v="Intentionally left blank for demo"/>
    <s v="12100 Accounts Receivable (A/R)"/>
    <n v="675"/>
    <n v="271785.69"/>
    <x v="1"/>
    <x v="5"/>
    <x v="2"/>
  </r>
  <r>
    <d v="2026-03-02T00:00:00"/>
    <d v="2026-03-31T00:00:00"/>
    <s v="Invoice"/>
    <s v="Intentionally left blank for demo"/>
    <s v="41000 Class B Revenue"/>
    <n v="41000"/>
    <s v="Income"/>
    <s v="ServiceFeeIncome"/>
    <x v="7"/>
    <s v="Intentionally left blank for demo"/>
    <s v="12100 Accounts Receivable (A/R)"/>
    <n v="200"/>
    <n v="271985.69"/>
    <x v="1"/>
    <x v="5"/>
    <x v="2"/>
  </r>
  <r>
    <d v="2026-03-02T00:00:00"/>
    <d v="2026-03-31T00:00:00"/>
    <s v="Invoice"/>
    <s v="Intentionally left blank for demo"/>
    <s v="41000 Class B Revenue"/>
    <n v="41000"/>
    <s v="Income"/>
    <s v="ServiceFeeIncome"/>
    <x v="8"/>
    <s v="Intentionally left blank for demo"/>
    <s v="12100 Accounts Receivable (A/R)"/>
    <n v="300"/>
    <n v="272285.69"/>
    <x v="1"/>
    <x v="5"/>
    <x v="2"/>
  </r>
  <r>
    <d v="2026-03-02T00:00:00"/>
    <d v="2026-03-31T00:00:00"/>
    <s v="Invoice"/>
    <s v="Intentionally left blank for demo"/>
    <s v="41000 Class B Revenue"/>
    <n v="41000"/>
    <s v="Income"/>
    <s v="ServiceFeeIncome"/>
    <x v="7"/>
    <s v="Intentionally left blank for demo"/>
    <s v="12100 Accounts Receivable (A/R)"/>
    <n v="-976.87"/>
    <n v="271308.82"/>
    <x v="1"/>
    <x v="5"/>
    <x v="2"/>
  </r>
  <r>
    <d v="2026-03-02T00:00:00"/>
    <d v="2026-03-31T00:00:00"/>
    <s v="Invoice"/>
    <s v="Intentionally left blank for demo"/>
    <s v="42000 Class A Revenue"/>
    <n v="42000"/>
    <s v="Income"/>
    <s v="ServiceFeeIncome"/>
    <x v="9"/>
    <s v="Intentionally left blank for demo"/>
    <s v="12100 Accounts Receivable (A/R)"/>
    <n v="300"/>
    <n v="45032.29"/>
    <x v="0"/>
    <x v="6"/>
    <x v="2"/>
  </r>
  <r>
    <d v="2026-03-02T00:00:00"/>
    <d v="2026-03-31T00:00:00"/>
    <s v="Invoice"/>
    <s v="Intentionally left blank for demo"/>
    <s v="42000 Class A Revenue"/>
    <n v="42000"/>
    <s v="Income"/>
    <s v="ServiceFeeIncome"/>
    <x v="10"/>
    <s v="Intentionally left blank for demo"/>
    <s v="12100 Accounts Receivable (A/R)"/>
    <n v="500"/>
    <n v="45532.29"/>
    <x v="0"/>
    <x v="6"/>
    <x v="2"/>
  </r>
  <r>
    <d v="2026-03-02T00:00:00"/>
    <d v="2026-03-31T00:00:00"/>
    <s v="Invoice"/>
    <s v="Intentionally left blank for demo"/>
    <s v="42000 Class A Revenue"/>
    <n v="42000"/>
    <s v="Income"/>
    <s v="ServiceFeeIncome"/>
    <x v="11"/>
    <s v="Intentionally left blank for demo"/>
    <s v="12100 Accounts Receivable (A/R)"/>
    <n v="300"/>
    <n v="45832.29"/>
    <x v="0"/>
    <x v="6"/>
    <x v="2"/>
  </r>
  <r>
    <d v="2026-03-02T00:00:00"/>
    <d v="2026-03-31T00:00:00"/>
    <s v="Invoice"/>
    <s v="Intentionally left blank for demo"/>
    <s v="42000 Class A Revenue"/>
    <n v="42000"/>
    <s v="Income"/>
    <s v="ServiceFeeIncome"/>
    <x v="9"/>
    <s v="Intentionally left blank for demo"/>
    <s v="12100 Accounts Receivable (A/R)"/>
    <n v="1640"/>
    <n v="47472.29"/>
    <x v="0"/>
    <x v="6"/>
    <x v="2"/>
  </r>
  <r>
    <d v="2026-03-02T00:00:00"/>
    <d v="2026-03-31T00:00:00"/>
    <s v="Invoice"/>
    <s v="Intentionally left blank for demo"/>
    <s v="42000 Class A Revenue"/>
    <n v="42000"/>
    <s v="Income"/>
    <s v="ServiceFeeIncome"/>
    <x v="10"/>
    <s v="Intentionally left blank for demo"/>
    <s v="12100 Accounts Receivable (A/R)"/>
    <n v="2214"/>
    <n v="49686.29"/>
    <x v="0"/>
    <x v="6"/>
    <x v="2"/>
  </r>
  <r>
    <d v="2026-03-02T00:00:00"/>
    <d v="2026-03-31T00:00:00"/>
    <s v="Invoice"/>
    <s v="Intentionally left blank for demo"/>
    <s v="42000 Class A Revenue"/>
    <n v="42000"/>
    <s v="Income"/>
    <s v="ServiceFeeIncome"/>
    <x v="11"/>
    <s v="Intentionally left blank for demo"/>
    <s v="12100 Accounts Receivable (A/R)"/>
    <n v="3500"/>
    <n v="53186.29"/>
    <x v="0"/>
    <x v="6"/>
    <x v="2"/>
  </r>
  <r>
    <d v="2026-03-02T00:00:00"/>
    <d v="2026-03-31T00:00:00"/>
    <s v="Invoice"/>
    <s v="Intentionally left blank for demo"/>
    <s v="42000 Class A Revenue"/>
    <n v="42000"/>
    <s v="Income"/>
    <s v="ServiceFeeIncome"/>
    <x v="9"/>
    <s v="Intentionally left blank for demo"/>
    <s v="12100 Accounts Receivable (A/R)"/>
    <n v="20"/>
    <n v="53206.29"/>
    <x v="0"/>
    <x v="6"/>
    <x v="2"/>
  </r>
  <r>
    <d v="2026-03-02T00:00:00"/>
    <d v="2026-03-31T00:00:00"/>
    <s v="Invoice"/>
    <s v="Intentionally left blank for demo"/>
    <s v="42000 Class A Revenue"/>
    <n v="42000"/>
    <s v="Income"/>
    <s v="ServiceFeeIncome"/>
    <x v="10"/>
    <s v="Intentionally left blank for demo"/>
    <s v="12100 Accounts Receivable (A/R)"/>
    <n v="1000"/>
    <n v="54206.29"/>
    <x v="0"/>
    <x v="6"/>
    <x v="2"/>
  </r>
  <r>
    <d v="2026-03-02T00:00:00"/>
    <d v="2026-03-31T00:00:00"/>
    <s v="Invoice"/>
    <s v="Intentionally left blank for demo"/>
    <s v="42000 Class A Revenue"/>
    <n v="42000"/>
    <s v="Income"/>
    <s v="ServiceFeeIncome"/>
    <x v="11"/>
    <s v="Intentionally left blank for demo"/>
    <s v="12100 Accounts Receivable (A/R)"/>
    <n v="300"/>
    <n v="54506.29"/>
    <x v="0"/>
    <x v="6"/>
    <x v="2"/>
  </r>
  <r>
    <d v="2026-03-02T00:00:00"/>
    <d v="2026-03-31T00:00:00"/>
    <s v="Invoice"/>
    <s v="Intentionally left blank for demo"/>
    <s v="42000 Class A Revenue"/>
    <n v="42000"/>
    <s v="Income"/>
    <s v="ServiceFeeIncome"/>
    <x v="9"/>
    <s v="Intentionally left blank for demo"/>
    <s v="12100 Accounts Receivable (A/R)"/>
    <n v="2833"/>
    <n v="57339.29"/>
    <x v="0"/>
    <x v="6"/>
    <x v="2"/>
  </r>
  <r>
    <d v="2026-03-02T00:00:00"/>
    <d v="2026-03-31T00:00:00"/>
    <s v="Invoice"/>
    <s v="Intentionally left blank for demo"/>
    <s v="42000 Class A Revenue"/>
    <n v="42000"/>
    <s v="Income"/>
    <s v="ServiceFeeIncome"/>
    <x v="10"/>
    <s v="Intentionally left blank for demo"/>
    <s v="12100 Accounts Receivable (A/R)"/>
    <n v="2833"/>
    <n v="60172.29"/>
    <x v="0"/>
    <x v="6"/>
    <x v="2"/>
  </r>
  <r>
    <d v="2026-03-02T00:00:00"/>
    <d v="2026-03-31T00:00:00"/>
    <s v="Invoice"/>
    <s v="Intentionally left blank for demo"/>
    <s v="42000 Class A Revenue"/>
    <n v="42000"/>
    <s v="Income"/>
    <s v="ServiceFeeIncome"/>
    <x v="11"/>
    <s v="Intentionally left blank for demo"/>
    <s v="12100 Accounts Receivable (A/R)"/>
    <n v="50"/>
    <n v="60222.29"/>
    <x v="0"/>
    <x v="6"/>
    <x v="2"/>
  </r>
  <r>
    <d v="2026-03-02T00:00:00"/>
    <d v="2026-03-31T00:00:00"/>
    <s v="Invoice"/>
    <s v="Intentionally left blank for demo"/>
    <s v="42000 Class A Revenue"/>
    <n v="42000"/>
    <s v="Income"/>
    <s v="ServiceFeeIncome"/>
    <x v="9"/>
    <s v="Intentionally left blank for demo"/>
    <s v="12100 Accounts Receivable (A/R)"/>
    <n v="913.95"/>
    <n v="61136.24"/>
    <x v="0"/>
    <x v="6"/>
    <x v="2"/>
  </r>
  <r>
    <d v="2026-03-02T00:00:00"/>
    <d v="2026-03-31T00:00:00"/>
    <s v="Invoice"/>
    <s v="Intentionally left blank for demo"/>
    <s v="42000 Class A Revenue"/>
    <n v="42000"/>
    <s v="Income"/>
    <s v="ServiceFeeIncome"/>
    <x v="10"/>
    <s v="Intentionally left blank for demo"/>
    <s v="12100 Accounts Receivable (A/R)"/>
    <n v="2833"/>
    <n v="63969.24"/>
    <x v="0"/>
    <x v="6"/>
    <x v="2"/>
  </r>
  <r>
    <d v="2026-03-02T00:00:00"/>
    <d v="2026-03-31T00:00:00"/>
    <s v="Invoice"/>
    <s v="Intentionally left blank for demo"/>
    <s v="42000 Class A Revenue"/>
    <n v="42000"/>
    <s v="Income"/>
    <s v="ServiceFeeIncome"/>
    <x v="11"/>
    <s v="Intentionally left blank for demo"/>
    <s v="12100 Accounts Receivable (A/R)"/>
    <n v="3500"/>
    <n v="67469.240000000005"/>
    <x v="0"/>
    <x v="6"/>
    <x v="2"/>
  </r>
  <r>
    <d v="2026-03-02T00:00:00"/>
    <d v="2026-03-31T00:00:00"/>
    <s v="Invoice"/>
    <s v="Intentionally left blank for demo"/>
    <s v="42000 Class A Revenue"/>
    <n v="42000"/>
    <s v="Income"/>
    <s v="ServiceFeeIncome"/>
    <x v="9"/>
    <s v="Intentionally left blank for demo"/>
    <s v="12100 Accounts Receivable (A/R)"/>
    <n v="2833"/>
    <n v="70302.240000000005"/>
    <x v="0"/>
    <x v="6"/>
    <x v="2"/>
  </r>
  <r>
    <d v="2026-03-02T00:00:00"/>
    <d v="2026-03-31T00:00:00"/>
    <s v="Invoice"/>
    <s v="Intentionally left blank for demo"/>
    <s v="42000 Class A Revenue"/>
    <n v="42000"/>
    <s v="Income"/>
    <s v="ServiceFeeIncome"/>
    <x v="10"/>
    <s v="Intentionally left blank for demo"/>
    <s v="12100 Accounts Receivable (A/R)"/>
    <n v="4880"/>
    <n v="75182.240000000005"/>
    <x v="0"/>
    <x v="6"/>
    <x v="2"/>
  </r>
  <r>
    <d v="2026-03-02T00:00:00"/>
    <d v="2026-03-31T00:00:00"/>
    <s v="Invoice"/>
    <s v="Intentionally left blank for demo"/>
    <s v="42000 Class A Revenue"/>
    <n v="42000"/>
    <s v="Income"/>
    <s v="ServiceFeeIncome"/>
    <x v="11"/>
    <s v="Intentionally left blank for demo"/>
    <s v="12100 Accounts Receivable (A/R)"/>
    <n v="6391"/>
    <n v="81573.240000000005"/>
    <x v="0"/>
    <x v="6"/>
    <x v="2"/>
  </r>
  <r>
    <d v="2026-03-02T00:00:00"/>
    <d v="2026-03-31T00:00:00"/>
    <s v="Invoice"/>
    <s v="Intentionally left blank for demo"/>
    <s v="42000 Class A Revenue"/>
    <n v="42000"/>
    <s v="Income"/>
    <s v="ServiceFeeIncome"/>
    <x v="9"/>
    <s v="Intentionally left blank for demo"/>
    <s v="12100 Accounts Receivable (A/R)"/>
    <n v="250"/>
    <n v="81823.240000000005"/>
    <x v="0"/>
    <x v="6"/>
    <x v="2"/>
  </r>
  <r>
    <d v="2026-03-02T00:00:00"/>
    <d v="2026-03-31T00:00:00"/>
    <s v="Invoice"/>
    <s v="Intentionally left blank for demo"/>
    <s v="42000 Class A Revenue"/>
    <n v="42000"/>
    <s v="Income"/>
    <s v="ServiceFeeIncome"/>
    <x v="10"/>
    <s v="Intentionally left blank for demo"/>
    <s v="12100 Accounts Receivable (A/R)"/>
    <n v="2833"/>
    <n v="84656.24"/>
    <x v="0"/>
    <x v="6"/>
    <x v="2"/>
  </r>
  <r>
    <d v="2026-03-02T00:00:00"/>
    <d v="2026-03-31T00:00:00"/>
    <s v="Invoice"/>
    <s v="Intentionally left blank for demo"/>
    <s v="42000 Class A Revenue"/>
    <n v="42000"/>
    <s v="Income"/>
    <s v="ServiceFeeIncome"/>
    <x v="11"/>
    <s v="Intentionally left blank for demo"/>
    <s v="12100 Accounts Receivable (A/R)"/>
    <n v="20"/>
    <n v="84676.24"/>
    <x v="0"/>
    <x v="6"/>
    <x v="2"/>
  </r>
  <r>
    <d v="2026-03-02T00:00:00"/>
    <d v="2026-03-31T00:00:00"/>
    <s v="Invoice"/>
    <s v="Intentionally left blank for demo"/>
    <s v="42000 Class A Revenue"/>
    <n v="42000"/>
    <s v="Income"/>
    <s v="ServiceFeeIncome"/>
    <x v="9"/>
    <s v="Intentionally left blank for demo"/>
    <s v="12100 Accounts Receivable (A/R)"/>
    <n v="150"/>
    <n v="84826.240000000005"/>
    <x v="0"/>
    <x v="6"/>
    <x v="2"/>
  </r>
  <r>
    <d v="2026-03-02T00:00:00"/>
    <d v="2026-03-31T00:00:00"/>
    <s v="Invoice"/>
    <s v="Intentionally left blank for demo"/>
    <s v="42000 Class A Revenue"/>
    <n v="42000"/>
    <s v="Income"/>
    <s v="ServiceFeeIncome"/>
    <x v="10"/>
    <s v="Intentionally left blank for demo"/>
    <s v="12100 Accounts Receivable (A/R)"/>
    <n v="472.5"/>
    <n v="85298.74"/>
    <x v="0"/>
    <x v="6"/>
    <x v="2"/>
  </r>
  <r>
    <d v="2026-03-02T00:00:00"/>
    <d v="2026-03-31T00:00:00"/>
    <s v="Expense"/>
    <s v="Intentionally left blank for demo"/>
    <s v="53200 Employee Benefits - Health"/>
    <n v="53200"/>
    <s v="Cost of Goods Sold"/>
    <s v="CostOfLaborCos"/>
    <x v="1"/>
    <s v="Intentionally left blank for demo"/>
    <s v="11020 Operating Account 2"/>
    <n v="1615.61"/>
    <n v="14885.9"/>
    <x v="1"/>
    <x v="0"/>
    <x v="0"/>
  </r>
  <r>
    <d v="2026-03-02T00:00:00"/>
    <d v="2026-03-31T00:00:00"/>
    <s v="Expense"/>
    <s v="Intentionally left blank for demo"/>
    <s v="53200 Employee Benefits - Health"/>
    <n v="53200"/>
    <s v="Cost of Goods Sold"/>
    <s v="CostOfLaborCos"/>
    <x v="0"/>
    <s v="Intentionally left blank for demo"/>
    <s v="11020 Operating Account 2"/>
    <n v="1615.61"/>
    <n v="16501.509999999998"/>
    <x v="0"/>
    <x v="0"/>
    <x v="0"/>
  </r>
  <r>
    <d v="2026-03-02T00:00:00"/>
    <d v="2026-03-31T00:00:00"/>
    <s v="Expense"/>
    <s v="Intentionally left blank for demo"/>
    <s v="61200 Employee Benefits - Health - new"/>
    <n v="61200"/>
    <s v="Expense"/>
    <s v="PayrollExpenses"/>
    <x v="2"/>
    <s v="Intentionally left blank for demo"/>
    <s v="11020 Operating Account 2"/>
    <n v="3231.23"/>
    <n v="10430.459999999999"/>
    <x v="2"/>
    <x v="1"/>
    <x v="1"/>
  </r>
  <r>
    <d v="2026-03-02T00:00:00"/>
    <d v="2026-03-31T00:00:00"/>
    <s v="Bill"/>
    <s v="Intentionally left blank for demo"/>
    <s v="63400 Human Resources"/>
    <n v="63400"/>
    <s v="Expense"/>
    <s v="LegalProfessionalFees"/>
    <x v="12"/>
    <s v="Intentionally left blank for demo"/>
    <s v="21000 Accounts Payable (A/P)"/>
    <n v="1000"/>
    <n v="5677.5"/>
    <x v="2"/>
    <x v="2"/>
    <x v="1"/>
  </r>
  <r>
    <d v="2026-03-02T00:00:00"/>
    <d v="2026-03-31T00:00:00"/>
    <s v="Bill"/>
    <s v="Intentionally left blank for demo"/>
    <s v="63400 Human Resources"/>
    <n v="63400"/>
    <s v="Expense"/>
    <s v="LegalProfessionalFees"/>
    <x v="12"/>
    <s v="Intentionally left blank for demo"/>
    <s v="21000 Accounts Payable (A/P)"/>
    <n v="1093.75"/>
    <n v="6771.25"/>
    <x v="2"/>
    <x v="2"/>
    <x v="1"/>
  </r>
  <r>
    <d v="2026-03-02T00:00:00"/>
    <d v="2026-03-31T00:00:00"/>
    <s v="Expense"/>
    <s v="Intentionally left blank for demo"/>
    <s v="65120 Hotels"/>
    <n v="65120"/>
    <s v="Expense"/>
    <s v="Travel"/>
    <x v="4"/>
    <s v="Intentionally left blank for demo"/>
    <s v="21210 Corporate Credit Card 1"/>
    <n v="151.96"/>
    <n v="1987.2"/>
    <x v="0"/>
    <x v="3"/>
    <x v="1"/>
  </r>
  <r>
    <d v="2026-03-02T00:00:00"/>
    <d v="2026-03-31T00:00:00"/>
    <s v="Expense"/>
    <s v="Intentionally left blank for demo"/>
    <s v="65120 Hotels"/>
    <n v="65120"/>
    <s v="Expense"/>
    <s v="Travel"/>
    <x v="4"/>
    <s v="Intentionally left blank for demo"/>
    <s v="21230 Corporate Credit Card 3"/>
    <n v="221.08"/>
    <n v="2208.2800000000002"/>
    <x v="0"/>
    <x v="3"/>
    <x v="1"/>
  </r>
  <r>
    <d v="2026-03-02T00:00:00"/>
    <d v="2026-03-31T00:00:00"/>
    <s v="Expense"/>
    <s v="Intentionally left blank for demo"/>
    <s v="65130 Ground Transportation"/>
    <n v="65130"/>
    <s v="Expense"/>
    <s v="Travel"/>
    <x v="13"/>
    <s v="Intentionally left blank for demo"/>
    <s v="21210 Corporate Credit Card 1"/>
    <n v="22.12"/>
    <n v="491.27"/>
    <x v="2"/>
    <x v="3"/>
    <x v="1"/>
  </r>
  <r>
    <d v="2026-03-02T00:00:00"/>
    <d v="2026-03-31T00:00:00"/>
    <s v="Expense"/>
    <s v="Intentionally left blank for demo"/>
    <s v="65140 Meals"/>
    <n v="65140"/>
    <s v="Expense"/>
    <s v="TravelMeals"/>
    <x v="4"/>
    <s v="Intentionally left blank for demo"/>
    <s v="21210 Corporate Credit Card 1"/>
    <n v="13.39"/>
    <n v="249.18"/>
    <x v="0"/>
    <x v="3"/>
    <x v="1"/>
  </r>
  <r>
    <d v="2026-03-02T00:00:00"/>
    <d v="2026-03-31T00:00:00"/>
    <s v="Expense"/>
    <s v="Intentionally left blank for demo"/>
    <s v="66130 Ground Transportation"/>
    <n v="66130"/>
    <s v="Expense"/>
    <s v="Travel"/>
    <x v="5"/>
    <s v="Intentionally left blank for demo"/>
    <s v="21210 Corporate Credit Card 1"/>
    <n v="436.37"/>
    <n v="436.37"/>
    <x v="2"/>
    <x v="4"/>
    <x v="1"/>
  </r>
  <r>
    <d v="2026-03-02T00:00:00"/>
    <d v="2026-03-31T00:00:00"/>
    <s v="Bill"/>
    <s v="Intentionally left blank for demo"/>
    <s v="67240 Cyber Insurance - new"/>
    <n v="67240"/>
    <s v="Expense"/>
    <s v="Insurance"/>
    <x v="14"/>
    <s v="Intentionally left blank for demo"/>
    <s v="21000 Accounts Payable (A/P)"/>
    <n v="755.75"/>
    <n v="755.75"/>
    <x v="2"/>
    <x v="7"/>
    <x v="1"/>
  </r>
  <r>
    <d v="2026-03-03T00:00:00"/>
    <d v="2026-03-31T00:00:00"/>
    <s v="Expense"/>
    <s v="Intentionally left blank for demo"/>
    <s v="66120 Hotels"/>
    <n v="66120"/>
    <s v="Expense"/>
    <s v="Travel"/>
    <x v="5"/>
    <s v="Intentionally left blank for demo"/>
    <s v="21230 Corporate Credit Card 3"/>
    <n v="587.16"/>
    <n v="4018.16"/>
    <x v="2"/>
    <x v="4"/>
    <x v="1"/>
  </r>
  <r>
    <d v="2026-03-03T00:00:00"/>
    <d v="2026-03-31T00:00:00"/>
    <s v="Expense"/>
    <s v="Intentionally left blank for demo"/>
    <s v="66130 Ground Transportation"/>
    <n v="66130"/>
    <s v="Expense"/>
    <s v="Travel"/>
    <x v="5"/>
    <s v="Intentionally left blank for demo"/>
    <s v="21230 Corporate Credit Card 3"/>
    <n v="36.29"/>
    <n v="472.66"/>
    <x v="2"/>
    <x v="4"/>
    <x v="1"/>
  </r>
  <r>
    <d v="2026-03-03T00:00:00"/>
    <d v="2026-03-31T00:00:00"/>
    <s v="Expense"/>
    <s v="Intentionally left blank for demo"/>
    <s v="66130 Ground Transportation"/>
    <n v="66130"/>
    <s v="Expense"/>
    <s v="Travel"/>
    <x v="5"/>
    <s v="Intentionally left blank for demo"/>
    <s v="21210 Corporate Credit Card 1"/>
    <n v="13.49"/>
    <n v="486.15"/>
    <x v="2"/>
    <x v="4"/>
    <x v="1"/>
  </r>
  <r>
    <d v="2026-03-03T00:00:00"/>
    <d v="2026-03-31T00:00:00"/>
    <s v="Expense"/>
    <s v="Intentionally left blank for demo"/>
    <s v="66140 Meals"/>
    <n v="66140"/>
    <s v="Expense"/>
    <s v="TravelMeals"/>
    <x v="15"/>
    <s v="Intentionally left blank for demo"/>
    <s v="21210 Corporate Credit Card 1"/>
    <n v="44.92"/>
    <n v="354.67"/>
    <x v="2"/>
    <x v="4"/>
    <x v="1"/>
  </r>
  <r>
    <d v="2026-03-04T00:00:00"/>
    <d v="2026-03-31T00:00:00"/>
    <s v="Expense"/>
    <s v="Intentionally left blank for demo"/>
    <s v="65130 Ground Transportation"/>
    <n v="65130"/>
    <s v="Expense"/>
    <s v="Travel"/>
    <x v="4"/>
    <s v="Intentionally left blank for demo"/>
    <s v="21210 Corporate Credit Card 1"/>
    <n v="260.72000000000003"/>
    <n v="751.99"/>
    <x v="0"/>
    <x v="3"/>
    <x v="1"/>
  </r>
  <r>
    <d v="2026-03-04T00:00:00"/>
    <d v="2026-03-31T00:00:00"/>
    <s v="Expense"/>
    <s v="Intentionally left blank for demo"/>
    <s v="66140 Meals"/>
    <n v="66140"/>
    <s v="Expense"/>
    <s v="TravelMeals"/>
    <x v="15"/>
    <s v="Intentionally left blank for demo"/>
    <s v="21210 Corporate Credit Card 1"/>
    <n v="19.8"/>
    <n v="374.47"/>
    <x v="2"/>
    <x v="4"/>
    <x v="1"/>
  </r>
  <r>
    <d v="2026-03-04T00:00:00"/>
    <d v="2026-03-31T00:00:00"/>
    <s v="Expense"/>
    <s v="Intentionally left blank for demo"/>
    <s v="66150 Event Fees"/>
    <n v="66150"/>
    <s v="Expense"/>
    <s v="OtherBusinessExpenses"/>
    <x v="15"/>
    <s v="Intentionally left blank for demo"/>
    <s v="21210 Corporate Credit Card 1"/>
    <n v="2170"/>
    <n v="3765"/>
    <x v="2"/>
    <x v="4"/>
    <x v="1"/>
  </r>
  <r>
    <d v="2026-03-04T00:00:00"/>
    <d v="2026-03-31T00:00:00"/>
    <s v="Expense"/>
    <s v="Intentionally left blank for demo"/>
    <s v="67112 Bank Fees &amp; Service Charges"/>
    <n v="67112"/>
    <s v="Expense"/>
    <s v="BankCharges"/>
    <x v="16"/>
    <s v="Intentionally left blank for demo"/>
    <s v="11010 Operating Account 1"/>
    <n v="25.75"/>
    <n v="874.5"/>
    <x v="2"/>
    <x v="8"/>
    <x v="1"/>
  </r>
  <r>
    <d v="2026-03-05T00:00:00"/>
    <d v="2026-03-31T00:00:00"/>
    <s v="Expense"/>
    <s v="Intentionally left blank for demo"/>
    <s v="66130 Ground Transportation"/>
    <n v="66130"/>
    <s v="Expense"/>
    <s v="Travel"/>
    <x v="15"/>
    <s v="Intentionally left blank for demo"/>
    <s v="21230 Corporate Credit Card 3"/>
    <n v="40.6"/>
    <n v="526.75"/>
    <x v="2"/>
    <x v="4"/>
    <x v="1"/>
  </r>
  <r>
    <d v="2026-03-05T00:00:00"/>
    <d v="2026-03-31T00:00:00"/>
    <s v="Expense"/>
    <s v="Intentionally left blank for demo"/>
    <s v="66140 Meals"/>
    <n v="66140"/>
    <s v="Expense"/>
    <s v="TravelMeals"/>
    <x v="15"/>
    <s v="Intentionally left blank for demo"/>
    <s v="21210 Corporate Credit Card 1"/>
    <n v="10.95"/>
    <n v="385.42"/>
    <x v="2"/>
    <x v="4"/>
    <x v="1"/>
  </r>
  <r>
    <d v="2026-03-05T00:00:00"/>
    <d v="2026-03-31T00:00:00"/>
    <s v="Expense"/>
    <s v="Intentionally left blank for demo"/>
    <s v="66140 Meals"/>
    <n v="66140"/>
    <s v="Expense"/>
    <s v="TravelMeals"/>
    <x v="15"/>
    <s v="Intentionally left blank for demo"/>
    <s v="21210 Corporate Credit Card 1"/>
    <n v="27.43"/>
    <n v="412.85"/>
    <x v="2"/>
    <x v="4"/>
    <x v="1"/>
  </r>
  <r>
    <d v="2026-03-05T00:00:00"/>
    <d v="2026-03-31T00:00:00"/>
    <s v="Expense"/>
    <s v="Intentionally left blank for demo"/>
    <s v="66140 Meals"/>
    <n v="66140"/>
    <s v="Expense"/>
    <s v="TravelMeals"/>
    <x v="15"/>
    <s v="Intentionally left blank for demo"/>
    <s v="21210 Corporate Credit Card 1"/>
    <n v="12.49"/>
    <n v="425.34"/>
    <x v="2"/>
    <x v="4"/>
    <x v="1"/>
  </r>
  <r>
    <d v="2026-03-05T00:00:00"/>
    <d v="2026-03-31T00:00:00"/>
    <s v="Expense"/>
    <s v="Intentionally left blank for demo"/>
    <s v="66140 Meals"/>
    <n v="66140"/>
    <s v="Expense"/>
    <s v="TravelMeals"/>
    <x v="15"/>
    <s v="Intentionally left blank for demo"/>
    <s v="21210 Corporate Credit Card 1"/>
    <n v="11.08"/>
    <n v="436.42"/>
    <x v="2"/>
    <x v="4"/>
    <x v="1"/>
  </r>
  <r>
    <d v="2026-03-05T00:00:00"/>
    <d v="2026-03-31T00:00:00"/>
    <s v="Expense"/>
    <s v="Intentionally left blank for demo"/>
    <s v="67110 Software &amp; Apps"/>
    <n v="67110"/>
    <s v="Expense"/>
    <s v="OfficeGeneralAdministrativeExpenses"/>
    <x v="17"/>
    <s v="Intentionally left blank for demo"/>
    <s v="21210 Corporate Credit Card 1"/>
    <n v="128.94"/>
    <n v="4239.33"/>
    <x v="2"/>
    <x v="9"/>
    <x v="1"/>
  </r>
  <r>
    <d v="2026-03-08T00:00:00"/>
    <d v="2026-03-31T00:00:00"/>
    <s v="Expense"/>
    <s v="Intentionally left blank for demo"/>
    <s v="68105 Business Licenses &amp; Registration Fees"/>
    <n v="68105"/>
    <s v="Expense"/>
    <s v="TaxesPaid"/>
    <x v="18"/>
    <s v="Intentionally left blank for demo"/>
    <s v="21210 Corporate Credit Card 1"/>
    <n v="400"/>
    <n v="400"/>
    <x v="2"/>
    <x v="8"/>
    <x v="1"/>
  </r>
  <r>
    <d v="2026-03-09T00:00:00"/>
    <d v="2026-03-31T00:00:00"/>
    <s v="Expense"/>
    <s v="Intentionally left blank for demo"/>
    <s v="63120 Accounting Services"/>
    <n v="63120"/>
    <s v="Expense"/>
    <s v="LegalProfessionalFees"/>
    <x v="19"/>
    <s v="Intentionally left blank for demo"/>
    <s v="21210 Corporate Credit Card 1"/>
    <n v="1300"/>
    <n v="14200"/>
    <x v="2"/>
    <x v="2"/>
    <x v="1"/>
  </r>
  <r>
    <d v="2026-03-10T00:00:00"/>
    <d v="2026-03-31T00:00:00"/>
    <s v="Bill"/>
    <s v="Intentionally left blank for demo"/>
    <s v="51100 Project Expenses - new"/>
    <n v="51100"/>
    <s v="Cost of Goods Sold"/>
    <s v="SuppliesMaterialsCogs"/>
    <x v="20"/>
    <s v="Intentionally left blank for demo"/>
    <s v="21000 Accounts Payable (A/P)"/>
    <n v="4726.9799999999996"/>
    <n v="30455.17"/>
    <x v="1"/>
    <x v="10"/>
    <x v="0"/>
  </r>
  <r>
    <d v="2026-03-11T00:00:00"/>
    <d v="2026-03-31T00:00:00"/>
    <s v="Expense"/>
    <s v="Intentionally left blank for demo"/>
    <s v="67110 Software &amp; Apps"/>
    <n v="67110"/>
    <s v="Expense"/>
    <s v="OfficeGeneralAdministrativeExpenses"/>
    <x v="21"/>
    <s v="Intentionally left blank for demo"/>
    <s v="21210 Corporate Credit Card 1"/>
    <n v="799"/>
    <n v="5038.33"/>
    <x v="2"/>
    <x v="9"/>
    <x v="1"/>
  </r>
  <r>
    <d v="2026-03-12T00:00:00"/>
    <d v="2026-03-31T00:00:00"/>
    <s v="Expense"/>
    <s v="Intentionally left blank for demo"/>
    <s v="64140 Meals"/>
    <n v="64140"/>
    <s v="Expense"/>
    <s v="TravelMeals"/>
    <x v="13"/>
    <s v="Intentionally left blank for demo"/>
    <s v="21210 Corporate Credit Card 1"/>
    <n v="28.88"/>
    <n v="28.88"/>
    <x v="2"/>
    <x v="11"/>
    <x v="1"/>
  </r>
  <r>
    <d v="2026-03-12T00:00:00"/>
    <d v="2026-03-31T00:00:00"/>
    <s v="Expense"/>
    <s v="Intentionally left blank for demo"/>
    <s v="67110 Software &amp; Apps"/>
    <n v="67110"/>
    <s v="Expense"/>
    <s v="OfficeGeneralAdministrativeExpenses"/>
    <x v="22"/>
    <s v="Intentionally left blank for demo"/>
    <s v="21210 Corporate Credit Card 1"/>
    <n v="386.82"/>
    <n v="5425.15"/>
    <x v="2"/>
    <x v="9"/>
    <x v="1"/>
  </r>
  <r>
    <d v="2026-03-13T00:00:00"/>
    <d v="2026-03-31T00:00:00"/>
    <s v="Journal Entry"/>
    <s v="Intentionally left blank for demo"/>
    <s v="53100 Salaries &amp; Wages (COS)"/>
    <n v="53100"/>
    <s v="Cost of Goods Sold"/>
    <s v="CostOfLaborCos"/>
    <x v="0"/>
    <s v="Intentionally left blank for demo"/>
    <s v="-Split-"/>
    <n v="9724.34"/>
    <n v="62193.04"/>
    <x v="0"/>
    <x v="0"/>
    <x v="0"/>
  </r>
  <r>
    <d v="2026-03-13T00:00:00"/>
    <d v="2026-03-31T00:00:00"/>
    <s v="Journal Entry"/>
    <s v="Intentionally left blank for demo"/>
    <s v="53100 Salaries &amp; Wages (COS)"/>
    <n v="53100"/>
    <s v="Cost of Goods Sold"/>
    <s v="CostOfLaborCos"/>
    <x v="1"/>
    <s v="Intentionally left blank for demo"/>
    <s v="-Split-"/>
    <n v="5457.15"/>
    <n v="67650.19"/>
    <x v="1"/>
    <x v="0"/>
    <x v="0"/>
  </r>
  <r>
    <d v="2026-03-13T00:00:00"/>
    <d v="2026-03-31T00:00:00"/>
    <s v="Journal Entry"/>
    <s v="Intentionally left blank for demo"/>
    <s v="53200 Employee Benefits - Health"/>
    <n v="53200"/>
    <s v="Cost of Goods Sold"/>
    <s v="CostOfLaborCos"/>
    <x v="0"/>
    <s v="Intentionally left blank for demo"/>
    <s v="-Split-"/>
    <n v="1633.15"/>
    <n v="18134.66"/>
    <x v="0"/>
    <x v="0"/>
    <x v="0"/>
  </r>
  <r>
    <d v="2026-03-13T00:00:00"/>
    <d v="2026-03-31T00:00:00"/>
    <s v="Journal Entry"/>
    <s v="Intentionally left blank for demo"/>
    <s v="53200 Employee Benefits - Health"/>
    <n v="53200"/>
    <s v="Cost of Goods Sold"/>
    <s v="CostOfLaborCos"/>
    <x v="1"/>
    <s v="Intentionally left blank for demo"/>
    <s v="-Split-"/>
    <n v="1018.68"/>
    <n v="19153.34"/>
    <x v="1"/>
    <x v="0"/>
    <x v="0"/>
  </r>
  <r>
    <d v="2026-03-13T00:00:00"/>
    <d v="2026-03-31T00:00:00"/>
    <s v="Journal Entry"/>
    <s v="Intentionally left blank for demo"/>
    <s v="53230 Employee Benefits -  Life Insurance"/>
    <n v="53230"/>
    <s v="Cost of Goods Sold"/>
    <s v="CostOfLaborCos"/>
    <x v="0"/>
    <s v="Intentionally left blank for demo"/>
    <s v="-Split-"/>
    <n v="-69.37"/>
    <n v="-331.98"/>
    <x v="0"/>
    <x v="0"/>
    <x v="0"/>
  </r>
  <r>
    <d v="2026-03-13T00:00:00"/>
    <d v="2026-03-31T00:00:00"/>
    <s v="Journal Entry"/>
    <s v="Intentionally left blank for demo"/>
    <s v="53240 Employee Benefits - LTD"/>
    <n v="53240"/>
    <s v="Cost of Goods Sold"/>
    <s v="CostOfLaborCos"/>
    <x v="0"/>
    <s v="Intentionally left blank for demo"/>
    <s v="-Split-"/>
    <n v="30.77"/>
    <n v="252.04"/>
    <x v="0"/>
    <x v="0"/>
    <x v="0"/>
  </r>
  <r>
    <d v="2026-03-13T00:00:00"/>
    <d v="2026-03-31T00:00:00"/>
    <s v="Journal Entry"/>
    <s v="Intentionally left blank for demo"/>
    <s v="53240 Employee Benefits - LTD"/>
    <n v="53240"/>
    <s v="Cost of Goods Sold"/>
    <s v="CostOfLaborCos"/>
    <x v="1"/>
    <s v="Intentionally left blank for demo"/>
    <s v="-Split-"/>
    <n v="19.62"/>
    <n v="271.66000000000003"/>
    <x v="1"/>
    <x v="0"/>
    <x v="0"/>
  </r>
  <r>
    <d v="2026-03-13T00:00:00"/>
    <d v="2026-03-31T00:00:00"/>
    <s v="Journal Entry"/>
    <s v="Intentionally left blank for demo"/>
    <s v="53300 Payroll Expense - Employer Payroll Tax Expense"/>
    <n v="53300"/>
    <s v="Cost of Goods Sold"/>
    <s v="CostOfLaborCos"/>
    <x v="1"/>
    <s v="Intentionally left blank for demo"/>
    <s v="-Split-"/>
    <n v="405.45"/>
    <n v="5806"/>
    <x v="1"/>
    <x v="0"/>
    <x v="0"/>
  </r>
  <r>
    <d v="2026-03-13T00:00:00"/>
    <d v="2026-03-31T00:00:00"/>
    <s v="Journal Entry"/>
    <s v="Intentionally left blank for demo"/>
    <s v="53300 Payroll Expense - Employer Payroll Tax Expense"/>
    <n v="53300"/>
    <s v="Cost of Goods Sold"/>
    <s v="CostOfLaborCos"/>
    <x v="0"/>
    <s v="Intentionally left blank for demo"/>
    <s v="-Split-"/>
    <n v="716.44"/>
    <n v="6522.44"/>
    <x v="0"/>
    <x v="0"/>
    <x v="0"/>
  </r>
  <r>
    <d v="2026-03-13T00:00:00"/>
    <d v="2026-03-31T00:00:00"/>
    <s v="Journal Entry"/>
    <s v="Intentionally left blank for demo"/>
    <s v="61100 Salaries &amp; Wages"/>
    <n v="61100"/>
    <s v="Expense"/>
    <s v="PayrollExpenses"/>
    <x v="2"/>
    <s v="Intentionally left blank for demo"/>
    <s v="-Split-"/>
    <n v="11530.25"/>
    <n v="54012.24"/>
    <x v="2"/>
    <x v="1"/>
    <x v="1"/>
  </r>
  <r>
    <d v="2026-03-13T00:00:00"/>
    <d v="2026-03-31T00:00:00"/>
    <s v="Journal Entry"/>
    <s v="Intentionally left blank for demo"/>
    <s v="61120 Guaranteed Payments - new"/>
    <n v="61120"/>
    <s v="Expense"/>
    <s v="PayrollExpenses"/>
    <x v="2"/>
    <s v="Intentionally left blank for demo"/>
    <s v="-Split-"/>
    <n v="8162.29"/>
    <n v="39062.39"/>
    <x v="2"/>
    <x v="1"/>
    <x v="1"/>
  </r>
  <r>
    <d v="2026-03-13T00:00:00"/>
    <d v="2026-03-31T00:00:00"/>
    <s v="Journal Entry"/>
    <s v="Intentionally left blank for demo"/>
    <s v="61200 Employee Benefits - Health - new"/>
    <n v="61200"/>
    <s v="Expense"/>
    <s v="PayrollExpenses"/>
    <x v="2"/>
    <s v="Intentionally left blank for demo"/>
    <s v="-Split-"/>
    <n v="1048.1500000000001"/>
    <n v="11478.61"/>
    <x v="2"/>
    <x v="1"/>
    <x v="1"/>
  </r>
  <r>
    <d v="2026-03-13T00:00:00"/>
    <d v="2026-03-31T00:00:00"/>
    <s v="Journal Entry"/>
    <s v="Intentionally left blank for demo"/>
    <s v="61230 Employee Benefits -  Life Insurance - new"/>
    <n v="61230"/>
    <s v="Expense"/>
    <s v="PayrollExpenses"/>
    <x v="2"/>
    <s v="Intentionally left blank for demo"/>
    <s v="-Split-"/>
    <n v="-5.54"/>
    <n v="-26.51"/>
    <x v="2"/>
    <x v="1"/>
    <x v="1"/>
  </r>
  <r>
    <d v="2026-03-13T00:00:00"/>
    <d v="2026-03-31T00:00:00"/>
    <s v="Journal Entry"/>
    <s v="Intentionally left blank for demo"/>
    <s v="61240 Employee Benefits - LTD"/>
    <n v="61240"/>
    <s v="Expense"/>
    <s v="AdvertisingPromotional"/>
    <x v="2"/>
    <s v="Intentionally left blank for demo"/>
    <s v="-Split-"/>
    <n v="26.74"/>
    <n v="158.88999999999999"/>
    <x v="2"/>
    <x v="1"/>
    <x v="1"/>
  </r>
  <r>
    <d v="2026-03-13T00:00:00"/>
    <d v="2026-03-31T00:00:00"/>
    <s v="Journal Entry"/>
    <s v="Intentionally left blank for demo"/>
    <s v="61300 Employer Payroll Tax Expense"/>
    <n v="61300"/>
    <s v="Expense"/>
    <s v="PayrollExpenses"/>
    <x v="2"/>
    <s v="Intentionally left blank for demo"/>
    <s v="-Split-"/>
    <n v="867.48"/>
    <n v="6094.44"/>
    <x v="2"/>
    <x v="1"/>
    <x v="1"/>
  </r>
  <r>
    <d v="2026-03-16T00:00:00"/>
    <d v="2026-03-31T00:00:00"/>
    <s v="Expense"/>
    <s v="Intentionally left blank for demo"/>
    <s v="63120 Accounting Services"/>
    <n v="63120"/>
    <s v="Expense"/>
    <s v="LegalProfessionalFees"/>
    <x v="19"/>
    <s v="Intentionally left blank for demo"/>
    <s v="11010 Operating Account 1"/>
    <n v="600"/>
    <n v="14800"/>
    <x v="2"/>
    <x v="2"/>
    <x v="1"/>
  </r>
  <r>
    <d v="2026-03-16T00:00:00"/>
    <d v="2026-03-31T00:00:00"/>
    <s v="Bill"/>
    <s v="Intentionally left blank for demo"/>
    <s v="63400 Human Resources"/>
    <n v="63400"/>
    <s v="Expense"/>
    <s v="LegalProfessionalFees"/>
    <x v="12"/>
    <s v="Intentionally left blank for demo"/>
    <s v="21000 Accounts Payable (A/P)"/>
    <n v="604.15"/>
    <n v="7375.4"/>
    <x v="2"/>
    <x v="2"/>
    <x v="1"/>
  </r>
  <r>
    <d v="2026-03-16T00:00:00"/>
    <d v="2026-03-31T00:00:00"/>
    <s v="Journal Entry"/>
    <s v="Intentionally left blank for demo"/>
    <s v="65130 Ground Transportation"/>
    <n v="65130"/>
    <s v="Expense"/>
    <s v="Travel"/>
    <x v="4"/>
    <s v="Intentionally left blank for demo"/>
    <s v="-Split-"/>
    <n v="-130.36000000000001"/>
    <n v="621.63"/>
    <x v="0"/>
    <x v="3"/>
    <x v="1"/>
  </r>
  <r>
    <d v="2026-03-16T00:00:00"/>
    <d v="2026-03-31T00:00:00"/>
    <s v="Journal Entry"/>
    <s v="Intentionally left blank for demo"/>
    <s v="65130 Ground Transportation"/>
    <n v="65130"/>
    <s v="Expense"/>
    <s v="Travel"/>
    <x v="4"/>
    <s v="Intentionally left blank for demo"/>
    <s v="-Split-"/>
    <n v="130.36000000000001"/>
    <n v="751.99"/>
    <x v="0"/>
    <x v="3"/>
    <x v="1"/>
  </r>
  <r>
    <d v="2026-03-16T00:00:00"/>
    <d v="2026-03-31T00:00:00"/>
    <s v="Expense"/>
    <s v="Intentionally left blank for demo"/>
    <s v="67110 Software &amp; Apps"/>
    <n v="67110"/>
    <s v="Expense"/>
    <s v="OfficeGeneralAdministrativeExpenses"/>
    <x v="17"/>
    <s v="Intentionally left blank for demo"/>
    <s v="21210 Corporate Credit Card 1"/>
    <n v="21.49"/>
    <n v="5446.64"/>
    <x v="2"/>
    <x v="9"/>
    <x v="1"/>
  </r>
  <r>
    <d v="2026-03-16T00:00:00"/>
    <d v="2026-03-31T00:00:00"/>
    <s v="Expense"/>
    <s v="Intentionally left blank for demo"/>
    <s v="67117 Memberships Dues"/>
    <n v="67117"/>
    <s v="Expense"/>
    <s v="DuesSubscriptions"/>
    <x v="23"/>
    <s v="Intentionally left blank for demo"/>
    <s v="21210 Corporate Credit Card 1"/>
    <n v="180"/>
    <n v="180"/>
    <x v="2"/>
    <x v="8"/>
    <x v="1"/>
  </r>
  <r>
    <d v="2026-03-17T00:00:00"/>
    <d v="2026-03-31T00:00:00"/>
    <s v="Expense"/>
    <s v="Intentionally left blank for demo"/>
    <s v="67110 Software &amp; Apps"/>
    <n v="67110"/>
    <s v="Expense"/>
    <s v="OfficeGeneralAdministrativeExpenses"/>
    <x v="21"/>
    <s v="Intentionally left blank for demo"/>
    <s v="21210 Corporate Credit Card 1"/>
    <n v="123.57"/>
    <n v="5570.21"/>
    <x v="2"/>
    <x v="9"/>
    <x v="1"/>
  </r>
  <r>
    <d v="2026-03-18T00:00:00"/>
    <d v="2026-03-31T00:00:00"/>
    <s v="Journal Entry"/>
    <s v="Intentionally left blank for demo"/>
    <s v="43000 Client 1 Revenue"/>
    <n v="43000"/>
    <s v="Income"/>
    <s v="ServiceFeeIncome"/>
    <x v="11"/>
    <s v="Intentionally left blank for demo"/>
    <s v="-Split-"/>
    <n v="3053.61"/>
    <n v="48665.66"/>
    <x v="0"/>
    <x v="6"/>
    <x v="2"/>
  </r>
  <r>
    <d v="2026-03-18T00:00:00"/>
    <d v="2026-03-31T00:00:00"/>
    <s v="Journal Entry"/>
    <s v="Intentionally left blank for demo"/>
    <s v="43000 Client 1 Revenue"/>
    <n v="43000"/>
    <s v="Income"/>
    <s v="ServiceFeeIncome"/>
    <x v="9"/>
    <s v="Intentionally left blank for demo"/>
    <s v="-Split-"/>
    <n v="2617.11"/>
    <n v="51282.77"/>
    <x v="0"/>
    <x v="6"/>
    <x v="2"/>
  </r>
  <r>
    <d v="2026-03-18T00:00:00"/>
    <d v="2026-03-31T00:00:00"/>
    <s v="Journal Entry"/>
    <s v="Intentionally left blank for demo"/>
    <s v="43000 Client 1 Revenue"/>
    <n v="43000"/>
    <s v="Income"/>
    <s v="ServiceFeeIncome"/>
    <x v="10"/>
    <s v="Intentionally left blank for demo"/>
    <s v="-Split-"/>
    <n v="2119.14"/>
    <n v="53401.91"/>
    <x v="0"/>
    <x v="6"/>
    <x v="2"/>
  </r>
  <r>
    <d v="2026-03-18T00:00:00"/>
    <d v="2026-03-31T00:00:00"/>
    <s v="Journal Entry"/>
    <s v="Intentionally left blank for demo"/>
    <s v="43000 Client 1 Revenue"/>
    <n v="43000"/>
    <s v="Income"/>
    <s v="ServiceFeeIncome"/>
    <x v="11"/>
    <s v="Intentionally left blank for demo"/>
    <s v="-Split-"/>
    <n v="2119.14"/>
    <n v="55521.05"/>
    <x v="0"/>
    <x v="6"/>
    <x v="2"/>
  </r>
  <r>
    <d v="2026-03-18T00:00:00"/>
    <d v="2026-03-31T00:00:00"/>
    <s v="Journal Entry"/>
    <s v="Intentionally left blank for demo"/>
    <s v="67110 Software &amp; Apps"/>
    <n v="67110"/>
    <s v="Expense"/>
    <s v="OfficeGeneralAdministrativeExpenses"/>
    <x v="24"/>
    <s v="Intentionally left blank for demo"/>
    <s v="-Split-"/>
    <n v="-115.31"/>
    <n v="5454.9"/>
    <x v="0"/>
    <x v="9"/>
    <x v="1"/>
  </r>
  <r>
    <d v="2026-03-19T00:00:00"/>
    <d v="2026-03-31T00:00:00"/>
    <s v="Bill"/>
    <s v="Intentionally left blank for demo"/>
    <s v="63120 Accounting Services"/>
    <n v="63120"/>
    <s v="Expense"/>
    <s v="LegalProfessionalFees"/>
    <x v="19"/>
    <s v="Intentionally left blank for demo"/>
    <s v="21000 Accounts Payable (A/P)"/>
    <n v="6900"/>
    <n v="21700"/>
    <x v="2"/>
    <x v="2"/>
    <x v="1"/>
  </r>
  <r>
    <d v="2026-03-19T00:00:00"/>
    <d v="2026-03-31T00:00:00"/>
    <s v="Expense"/>
    <s v="Intentionally left blank for demo"/>
    <s v="66140 Meals"/>
    <n v="66140"/>
    <s v="Expense"/>
    <s v="TravelMeals"/>
    <x v="15"/>
    <s v="Intentionally left blank for demo"/>
    <s v="21210 Corporate Credit Card 1"/>
    <n v="27.39"/>
    <n v="463.81"/>
    <x v="2"/>
    <x v="4"/>
    <x v="1"/>
  </r>
  <r>
    <d v="2026-03-20T00:00:00"/>
    <d v="2026-03-31T00:00:00"/>
    <s v="Bill"/>
    <s v="Intentionally left blank for demo"/>
    <s v="51100 Project Expenses - new"/>
    <n v="51100"/>
    <s v="Cost of Goods Sold"/>
    <s v="SuppliesMaterialsCogs"/>
    <x v="25"/>
    <s v="Intentionally left blank for demo"/>
    <s v="21000 Accounts Payable (A/P)"/>
    <n v="83.7"/>
    <n v="30538.87"/>
    <x v="0"/>
    <x v="10"/>
    <x v="0"/>
  </r>
  <r>
    <d v="2026-03-20T00:00:00"/>
    <d v="2026-03-31T00:00:00"/>
    <s v="Bill"/>
    <s v="Intentionally left blank for demo"/>
    <s v="51100 Project Expenses - new"/>
    <n v="51100"/>
    <s v="Cost of Goods Sold"/>
    <s v="SuppliesMaterialsCogs"/>
    <x v="26"/>
    <s v="Intentionally left blank for demo"/>
    <s v="21000 Accounts Payable (A/P)"/>
    <n v="100"/>
    <n v="30638.87"/>
    <x v="0"/>
    <x v="10"/>
    <x v="0"/>
  </r>
  <r>
    <d v="2026-03-20T00:00:00"/>
    <d v="2026-03-31T00:00:00"/>
    <s v="Bill"/>
    <s v="Intentionally left blank for demo"/>
    <s v="51100 Project Expenses - new"/>
    <n v="51100"/>
    <s v="Cost of Goods Sold"/>
    <s v="SuppliesMaterialsCogs"/>
    <x v="27"/>
    <s v="Intentionally left blank for demo"/>
    <s v="21000 Accounts Payable (A/P)"/>
    <n v="100"/>
    <n v="30738.87"/>
    <x v="0"/>
    <x v="10"/>
    <x v="0"/>
  </r>
  <r>
    <d v="2026-03-20T00:00:00"/>
    <d v="2026-03-31T00:00:00"/>
    <s v="Bill"/>
    <s v="Intentionally left blank for demo"/>
    <s v="51100 Project Expenses - new"/>
    <n v="51100"/>
    <s v="Cost of Goods Sold"/>
    <s v="SuppliesMaterialsCogs"/>
    <x v="25"/>
    <s v="Intentionally left blank for demo"/>
    <s v="21000 Accounts Payable (A/P)"/>
    <n v="100"/>
    <n v="30838.87"/>
    <x v="0"/>
    <x v="10"/>
    <x v="0"/>
  </r>
  <r>
    <d v="2026-03-20T00:00:00"/>
    <d v="2026-03-31T00:00:00"/>
    <s v="Bill"/>
    <s v="Intentionally left blank for demo"/>
    <s v="51100 Project Expenses - new"/>
    <n v="51100"/>
    <s v="Cost of Goods Sold"/>
    <s v="SuppliesMaterialsCogs"/>
    <x v="26"/>
    <s v="Intentionally left blank for demo"/>
    <s v="21000 Accounts Payable (A/P)"/>
    <n v="100"/>
    <n v="30938.87"/>
    <x v="0"/>
    <x v="10"/>
    <x v="0"/>
  </r>
  <r>
    <d v="2026-03-20T00:00:00"/>
    <d v="2026-03-31T00:00:00"/>
    <s v="Bill"/>
    <s v="Intentionally left blank for demo"/>
    <s v="51100 Project Expenses - new"/>
    <n v="51100"/>
    <s v="Cost of Goods Sold"/>
    <s v="SuppliesMaterialsCogs"/>
    <x v="27"/>
    <s v="Intentionally left blank for demo"/>
    <s v="21000 Accounts Payable (A/P)"/>
    <n v="45.52"/>
    <n v="30984.39"/>
    <x v="0"/>
    <x v="10"/>
    <x v="0"/>
  </r>
  <r>
    <d v="2026-03-20T00:00:00"/>
    <d v="2026-03-31T00:00:00"/>
    <s v="Bill"/>
    <s v="Intentionally left blank for demo"/>
    <s v="51100 Project Expenses - new"/>
    <n v="51100"/>
    <s v="Cost of Goods Sold"/>
    <s v="SuppliesMaterialsCogs"/>
    <x v="25"/>
    <s v="Intentionally left blank for demo"/>
    <s v="21000 Accounts Payable (A/P)"/>
    <n v="150"/>
    <n v="31134.39"/>
    <x v="0"/>
    <x v="10"/>
    <x v="0"/>
  </r>
  <r>
    <d v="2026-03-20T00:00:00"/>
    <d v="2026-03-31T00:00:00"/>
    <s v="Bill"/>
    <s v="Intentionally left blank for demo"/>
    <s v="51100 Project Expenses - new"/>
    <n v="51100"/>
    <s v="Cost of Goods Sold"/>
    <s v="SuppliesMaterialsCogs"/>
    <x v="26"/>
    <s v="Intentionally left blank for demo"/>
    <s v="21000 Accounts Payable (A/P)"/>
    <n v="83.7"/>
    <n v="31218.09"/>
    <x v="0"/>
    <x v="10"/>
    <x v="0"/>
  </r>
  <r>
    <d v="2026-03-20T00:00:00"/>
    <d v="2026-03-31T00:00:00"/>
    <s v="Bill"/>
    <s v="Intentionally left blank for demo"/>
    <s v="51100 Project Expenses - new"/>
    <n v="51100"/>
    <s v="Cost of Goods Sold"/>
    <s v="SuppliesMaterialsCogs"/>
    <x v="27"/>
    <s v="Intentionally left blank for demo"/>
    <s v="21000 Accounts Payable (A/P)"/>
    <n v="300"/>
    <n v="31518.09"/>
    <x v="0"/>
    <x v="10"/>
    <x v="0"/>
  </r>
  <r>
    <d v="2026-03-20T00:00:00"/>
    <d v="2026-03-31T00:00:00"/>
    <s v="Bill"/>
    <s v="Intentionally left blank for demo"/>
    <s v="51100 Project Expenses - new"/>
    <n v="51100"/>
    <s v="Cost of Goods Sold"/>
    <s v="SuppliesMaterialsCogs"/>
    <x v="25"/>
    <s v="Intentionally left blank for demo"/>
    <s v="21000 Accounts Payable (A/P)"/>
    <n v="91.96"/>
    <n v="31610.05"/>
    <x v="0"/>
    <x v="10"/>
    <x v="0"/>
  </r>
  <r>
    <d v="2026-03-20T00:00:00"/>
    <d v="2026-03-31T00:00:00"/>
    <s v="Journal Entry"/>
    <s v="Intentionally left blank for demo"/>
    <s v="66110 Airfare"/>
    <n v="66110"/>
    <s v="Expense"/>
    <s v="Travel"/>
    <x v="28"/>
    <s v="Intentionally left blank for demo"/>
    <s v="-Split-"/>
    <n v="-21.9"/>
    <n v="1096.45"/>
    <x v="2"/>
    <x v="4"/>
    <x v="1"/>
  </r>
  <r>
    <d v="2026-03-20T00:00:00"/>
    <d v="2026-03-31T00:00:00"/>
    <s v="Journal Entry"/>
    <s v="Intentionally left blank for demo"/>
    <s v="66140 Meals"/>
    <n v="66140"/>
    <s v="Expense"/>
    <s v="TravelMeals"/>
    <x v="28"/>
    <s v="Intentionally left blank for demo"/>
    <s v="-Split-"/>
    <n v="21.9"/>
    <n v="485.71"/>
    <x v="2"/>
    <x v="4"/>
    <x v="1"/>
  </r>
  <r>
    <d v="2026-03-22T00:00:00"/>
    <d v="2026-03-31T00:00:00"/>
    <s v="Expense"/>
    <s v="Intentionally left blank for demo"/>
    <s v="66140 Meals"/>
    <n v="66140"/>
    <s v="Expense"/>
    <s v="TravelMeals"/>
    <x v="28"/>
    <s v="Intentionally left blank for demo"/>
    <s v="21210 Corporate Credit Card 1"/>
    <n v="16.420000000000002"/>
    <n v="502.13"/>
    <x v="2"/>
    <x v="4"/>
    <x v="1"/>
  </r>
  <r>
    <d v="2026-03-22T00:00:00"/>
    <d v="2026-03-31T00:00:00"/>
    <s v="Expense"/>
    <s v="Intentionally left blank for demo"/>
    <s v="67126 Other G&amp;A"/>
    <n v="67126"/>
    <s v="Expense"/>
    <s v="OtherBusinessExpenses"/>
    <x v="29"/>
    <s v="Intentionally left blank for demo"/>
    <s v="21210 Corporate Credit Card 1"/>
    <n v="8.0500000000000007"/>
    <n v="78.739999999999995"/>
    <x v="2"/>
    <x v="8"/>
    <x v="1"/>
  </r>
  <r>
    <d v="2026-03-23T00:00:00"/>
    <d v="2026-03-31T00:00:00"/>
    <s v="Expense"/>
    <s v="Intentionally left blank for demo"/>
    <s v="67111 Website"/>
    <n v="67111"/>
    <s v="Expense"/>
    <s v="OfficeGeneralAdministrativeExpenses"/>
    <x v="29"/>
    <s v="Intentionally left blank for demo"/>
    <s v="21210 Corporate Credit Card 1"/>
    <n v="49.95"/>
    <n v="49.95"/>
    <x v="2"/>
    <x v="8"/>
    <x v="1"/>
  </r>
  <r>
    <d v="2026-03-24T00:00:00"/>
    <d v="2026-03-31T00:00:00"/>
    <s v="Bill"/>
    <s v="Intentionally left blank for demo"/>
    <s v="51100 Project Expenses - new"/>
    <n v="51100"/>
    <s v="Cost of Goods Sold"/>
    <s v="SuppliesMaterialsCogs"/>
    <x v="26"/>
    <s v="Intentionally left blank for demo"/>
    <s v="21000 Accounts Payable (A/P)"/>
    <n v="89.46"/>
    <n v="31699.51"/>
    <x v="0"/>
    <x v="10"/>
    <x v="0"/>
  </r>
  <r>
    <d v="2026-03-24T00:00:00"/>
    <d v="2026-03-31T00:00:00"/>
    <s v="Bill"/>
    <s v="Intentionally left blank for demo"/>
    <s v="51100 Project Expenses - new"/>
    <n v="51100"/>
    <s v="Cost of Goods Sold"/>
    <s v="SuppliesMaterialsCogs"/>
    <x v="27"/>
    <s v="Intentionally left blank for demo"/>
    <s v="21000 Accounts Payable (A/P)"/>
    <n v="251.62"/>
    <n v="31951.13"/>
    <x v="0"/>
    <x v="10"/>
    <x v="0"/>
  </r>
  <r>
    <d v="2026-03-24T00:00:00"/>
    <d v="2026-03-31T00:00:00"/>
    <s v="Bill"/>
    <s v="Intentionally left blank for demo"/>
    <s v="51100 Project Expenses - new"/>
    <n v="51100"/>
    <s v="Cost of Goods Sold"/>
    <s v="SuppliesMaterialsCogs"/>
    <x v="25"/>
    <s v="Intentionally left blank for demo"/>
    <s v="21000 Accounts Payable (A/P)"/>
    <n v="89.46"/>
    <n v="32040.59"/>
    <x v="0"/>
    <x v="10"/>
    <x v="0"/>
  </r>
  <r>
    <d v="2026-03-24T00:00:00"/>
    <d v="2026-03-31T00:00:00"/>
    <s v="Expense"/>
    <s v="Intentionally left blank for demo"/>
    <s v="53200 Employee Benefits - Health"/>
    <n v="53200"/>
    <s v="Cost of Goods Sold"/>
    <s v="CostOfLaborCos"/>
    <x v="1"/>
    <s v="Intentionally left blank for demo"/>
    <s v="11020 Operating Account 2"/>
    <n v="1615.61"/>
    <n v="20768.95"/>
    <x v="1"/>
    <x v="0"/>
    <x v="0"/>
  </r>
  <r>
    <d v="2026-03-24T00:00:00"/>
    <d v="2026-03-31T00:00:00"/>
    <s v="Expense"/>
    <s v="Intentionally left blank for demo"/>
    <s v="53200 Employee Benefits - Health"/>
    <n v="53200"/>
    <s v="Cost of Goods Sold"/>
    <s v="CostOfLaborCos"/>
    <x v="0"/>
    <s v="Intentionally left blank for demo"/>
    <s v="11020 Operating Account 2"/>
    <n v="1615.61"/>
    <n v="22384.560000000001"/>
    <x v="0"/>
    <x v="0"/>
    <x v="0"/>
  </r>
  <r>
    <d v="2026-03-24T00:00:00"/>
    <d v="2026-03-31T00:00:00"/>
    <s v="Expense"/>
    <s v="Intentionally left blank for demo"/>
    <s v="61200 Employee Benefits - Health - new"/>
    <n v="61200"/>
    <s v="Expense"/>
    <s v="PayrollExpenses"/>
    <x v="2"/>
    <s v="Intentionally left blank for demo"/>
    <s v="11020 Operating Account 2"/>
    <n v="3231.23"/>
    <n v="14709.84"/>
    <x v="2"/>
    <x v="1"/>
    <x v="1"/>
  </r>
  <r>
    <d v="2026-03-24T00:00:00"/>
    <d v="2026-03-31T00:00:00"/>
    <s v="Expense"/>
    <s v="Intentionally left blank for demo"/>
    <s v="67110 Software &amp; Apps"/>
    <n v="67110"/>
    <s v="Expense"/>
    <s v="OfficeGeneralAdministrativeExpenses"/>
    <x v="22"/>
    <s v="Intentionally left blank for demo"/>
    <s v="21210 Corporate Credit Card 1"/>
    <n v="64.47"/>
    <n v="5519.37"/>
    <x v="2"/>
    <x v="9"/>
    <x v="1"/>
  </r>
  <r>
    <d v="2026-03-24T00:00:00"/>
    <d v="2026-03-31T00:00:00"/>
    <s v="Expense"/>
    <s v="Intentionally left blank for demo"/>
    <s v="67117 Memberships Dues"/>
    <n v="67117"/>
    <s v="Expense"/>
    <s v="DuesSubscriptions"/>
    <x v="30"/>
    <s v="Intentionally left blank for demo"/>
    <s v="21210 Corporate Credit Card 1"/>
    <n v="160"/>
    <n v="340"/>
    <x v="0"/>
    <x v="8"/>
    <x v="1"/>
  </r>
  <r>
    <d v="2026-03-24T00:00:00"/>
    <d v="2026-03-31T00:00:00"/>
    <s v="Expense"/>
    <s v="Intentionally left blank for demo"/>
    <s v="67117 Memberships Dues"/>
    <n v="67117"/>
    <s v="Expense"/>
    <s v="DuesSubscriptions"/>
    <x v="30"/>
    <s v="Intentionally left blank for demo"/>
    <s v="21210 Corporate Credit Card 1"/>
    <n v="160"/>
    <n v="500"/>
    <x v="0"/>
    <x v="8"/>
    <x v="1"/>
  </r>
  <r>
    <d v="2026-03-26T00:00:00"/>
    <d v="2026-03-31T00:00:00"/>
    <s v="Expense"/>
    <s v="Intentionally left blank for demo"/>
    <s v="66110 Airfare"/>
    <n v="66110"/>
    <s v="Expense"/>
    <s v="Travel"/>
    <x v="28"/>
    <s v="Intentionally left blank for demo"/>
    <s v="21210 Corporate Credit Card 1"/>
    <n v="929.6"/>
    <n v="2026.05"/>
    <x v="2"/>
    <x v="4"/>
    <x v="1"/>
  </r>
  <r>
    <d v="2026-03-26T00:00:00"/>
    <d v="2026-03-31T00:00:00"/>
    <s v="Expense"/>
    <s v="Intentionally left blank for demo"/>
    <s v="67110 Software &amp; Apps"/>
    <n v="67110"/>
    <s v="Expense"/>
    <s v="OfficeGeneralAdministrativeExpenses"/>
    <x v="17"/>
    <s v="Intentionally left blank for demo"/>
    <s v="21210 Corporate Credit Card 1"/>
    <n v="93.01"/>
    <n v="5612.38"/>
    <x v="2"/>
    <x v="9"/>
    <x v="1"/>
  </r>
  <r>
    <d v="2026-03-27T00:00:00"/>
    <d v="2026-03-31T00:00:00"/>
    <s v="Journal Entry"/>
    <s v="Intentionally left blank for demo"/>
    <s v="53100 Salaries &amp; Wages (COS)"/>
    <n v="53100"/>
    <s v="Cost of Goods Sold"/>
    <s v="CostOfLaborCos"/>
    <x v="1"/>
    <s v="Intentionally left blank for demo"/>
    <s v="-Split-"/>
    <n v="5448.84"/>
    <n v="73099.03"/>
    <x v="1"/>
    <x v="0"/>
    <x v="0"/>
  </r>
  <r>
    <d v="2026-03-27T00:00:00"/>
    <d v="2026-03-31T00:00:00"/>
    <s v="Journal Entry"/>
    <s v="Intentionally left blank for demo"/>
    <s v="53100 Salaries &amp; Wages (COS)"/>
    <n v="53100"/>
    <s v="Cost of Goods Sold"/>
    <s v="CostOfLaborCos"/>
    <x v="0"/>
    <s v="Intentionally left blank for demo"/>
    <s v="-Split-"/>
    <n v="10182.1"/>
    <n v="83281.13"/>
    <x v="0"/>
    <x v="0"/>
    <x v="0"/>
  </r>
  <r>
    <d v="2026-03-27T00:00:00"/>
    <d v="2026-03-31T00:00:00"/>
    <s v="Journal Entry"/>
    <s v="Intentionally left blank for demo"/>
    <s v="53200 Employee Benefits - Health"/>
    <n v="53200"/>
    <s v="Cost of Goods Sold"/>
    <s v="CostOfLaborCos"/>
    <x v="0"/>
    <s v="Intentionally left blank for demo"/>
    <s v="-Split-"/>
    <n v="1633.15"/>
    <n v="24017.71"/>
    <x v="0"/>
    <x v="0"/>
    <x v="0"/>
  </r>
  <r>
    <d v="2026-03-27T00:00:00"/>
    <d v="2026-03-31T00:00:00"/>
    <s v="Journal Entry"/>
    <s v="Intentionally left blank for demo"/>
    <s v="53200 Employee Benefits - Health"/>
    <n v="53200"/>
    <s v="Cost of Goods Sold"/>
    <s v="CostOfLaborCos"/>
    <x v="1"/>
    <s v="Intentionally left blank for demo"/>
    <s v="-Split-"/>
    <n v="1018.68"/>
    <n v="25036.39"/>
    <x v="1"/>
    <x v="0"/>
    <x v="0"/>
  </r>
  <r>
    <d v="2026-03-27T00:00:00"/>
    <d v="2026-03-31T00:00:00"/>
    <s v="Journal Entry"/>
    <s v="Intentionally left blank for demo"/>
    <s v="53230 Employee Benefits -  Life Insurance"/>
    <n v="53230"/>
    <s v="Cost of Goods Sold"/>
    <s v="CostOfLaborCos"/>
    <x v="0"/>
    <s v="Intentionally left blank for demo"/>
    <s v="-Split-"/>
    <n v="-69.37"/>
    <n v="-401.35"/>
    <x v="0"/>
    <x v="0"/>
    <x v="0"/>
  </r>
  <r>
    <d v="2026-03-27T00:00:00"/>
    <d v="2026-03-31T00:00:00"/>
    <s v="Journal Entry"/>
    <s v="Intentionally left blank for demo"/>
    <s v="53240 Employee Benefits - LTD"/>
    <n v="53240"/>
    <s v="Cost of Goods Sold"/>
    <s v="CostOfLaborCos"/>
    <x v="1"/>
    <s v="Intentionally left blank for demo"/>
    <s v="-Split-"/>
    <n v="19.62"/>
    <n v="291.27999999999997"/>
    <x v="1"/>
    <x v="0"/>
    <x v="0"/>
  </r>
  <r>
    <d v="2026-03-27T00:00:00"/>
    <d v="2026-03-31T00:00:00"/>
    <s v="Journal Entry"/>
    <s v="Intentionally left blank for demo"/>
    <s v="53240 Employee Benefits - LTD"/>
    <n v="53240"/>
    <s v="Cost of Goods Sold"/>
    <s v="CostOfLaborCos"/>
    <x v="0"/>
    <s v="Intentionally left blank for demo"/>
    <s v="-Split-"/>
    <n v="30.77"/>
    <n v="322.05"/>
    <x v="0"/>
    <x v="0"/>
    <x v="0"/>
  </r>
  <r>
    <d v="2026-03-27T00:00:00"/>
    <d v="2026-03-31T00:00:00"/>
    <s v="Journal Entry"/>
    <s v="Intentionally left blank for demo"/>
    <s v="53300 Payroll Expense - Employer Payroll Tax Expense"/>
    <n v="53300"/>
    <s v="Cost of Goods Sold"/>
    <s v="CostOfLaborCos"/>
    <x v="1"/>
    <s v="Intentionally left blank for demo"/>
    <s v="-Split-"/>
    <n v="404.82"/>
    <n v="6927.26"/>
    <x v="1"/>
    <x v="0"/>
    <x v="0"/>
  </r>
  <r>
    <d v="2026-03-27T00:00:00"/>
    <d v="2026-03-31T00:00:00"/>
    <s v="Journal Entry"/>
    <s v="Intentionally left blank for demo"/>
    <s v="53300 Payroll Expense - Employer Payroll Tax Expense"/>
    <n v="53300"/>
    <s v="Cost of Goods Sold"/>
    <s v="CostOfLaborCos"/>
    <x v="0"/>
    <s v="Intentionally left blank for demo"/>
    <s v="-Split-"/>
    <n v="751.44"/>
    <n v="7678.7"/>
    <x v="0"/>
    <x v="0"/>
    <x v="0"/>
  </r>
  <r>
    <d v="2026-03-27T00:00:00"/>
    <d v="2026-03-31T00:00:00"/>
    <s v="Journal Entry"/>
    <s v="Intentionally left blank for demo"/>
    <s v="61100 Salaries &amp; Wages"/>
    <n v="61100"/>
    <s v="Expense"/>
    <s v="PayrollExpenses"/>
    <x v="2"/>
    <s v="Intentionally left blank for demo"/>
    <s v="-Split-"/>
    <n v="12413.57"/>
    <n v="66425.81"/>
    <x v="2"/>
    <x v="1"/>
    <x v="1"/>
  </r>
  <r>
    <d v="2026-03-27T00:00:00"/>
    <d v="2026-03-31T00:00:00"/>
    <s v="Journal Entry"/>
    <s v="Intentionally left blank for demo"/>
    <s v="61120 Guaranteed Payments - new"/>
    <n v="61120"/>
    <s v="Expense"/>
    <s v="PayrollExpenses"/>
    <x v="2"/>
    <s v="Intentionally left blank for demo"/>
    <s v="-Split-"/>
    <n v="8162.29"/>
    <n v="47224.68"/>
    <x v="2"/>
    <x v="1"/>
    <x v="1"/>
  </r>
  <r>
    <d v="2026-03-27T00:00:00"/>
    <d v="2026-03-31T00:00:00"/>
    <s v="Journal Entry"/>
    <s v="Intentionally left blank for demo"/>
    <s v="61200 Employee Benefits - Health - new"/>
    <n v="61200"/>
    <s v="Expense"/>
    <s v="PayrollExpenses"/>
    <x v="2"/>
    <s v="Intentionally left blank for demo"/>
    <s v="-Split-"/>
    <n v="1048.1500000000001"/>
    <n v="15757.99"/>
    <x v="2"/>
    <x v="1"/>
    <x v="1"/>
  </r>
  <r>
    <d v="2026-03-27T00:00:00"/>
    <d v="2026-03-31T00:00:00"/>
    <s v="Journal Entry"/>
    <s v="Intentionally left blank for demo"/>
    <s v="61230 Employee Benefits -  Life Insurance - new"/>
    <n v="61230"/>
    <s v="Expense"/>
    <s v="PayrollExpenses"/>
    <x v="2"/>
    <s v="Intentionally left blank for demo"/>
    <s v="-Split-"/>
    <n v="-5.54"/>
    <n v="-32.049999999999997"/>
    <x v="2"/>
    <x v="1"/>
    <x v="1"/>
  </r>
  <r>
    <d v="2026-03-27T00:00:00"/>
    <d v="2026-03-31T00:00:00"/>
    <s v="Journal Entry"/>
    <s v="Intentionally left blank for demo"/>
    <s v="61240 Employee Benefits - LTD"/>
    <n v="61240"/>
    <s v="Expense"/>
    <s v="AdvertisingPromotional"/>
    <x v="2"/>
    <s v="Intentionally left blank for demo"/>
    <s v="-Split-"/>
    <n v="26.74"/>
    <n v="185.63"/>
    <x v="2"/>
    <x v="1"/>
    <x v="1"/>
  </r>
  <r>
    <d v="2026-03-27T00:00:00"/>
    <d v="2026-03-31T00:00:00"/>
    <s v="Journal Entry"/>
    <s v="Intentionally left blank for demo"/>
    <s v="61300 Employer Payroll Tax Expense"/>
    <n v="61300"/>
    <s v="Expense"/>
    <s v="PayrollExpenses"/>
    <x v="2"/>
    <s v="Intentionally left blank for demo"/>
    <s v="-Split-"/>
    <n v="935.06"/>
    <n v="7029.5"/>
    <x v="2"/>
    <x v="1"/>
    <x v="1"/>
  </r>
  <r>
    <d v="2026-03-30T00:00:00"/>
    <d v="2026-03-31T00:00:00"/>
    <s v="Bill"/>
    <s v="Intentionally left blank for demo"/>
    <s v="51100 Project Expenses - new"/>
    <n v="51100"/>
    <s v="Cost of Goods Sold"/>
    <s v="SuppliesMaterialsCogs"/>
    <x v="31"/>
    <s v="Intentionally left blank for demo"/>
    <s v="21000 Accounts Payable (A/P)"/>
    <n v="1600"/>
    <n v="33640.589999999997"/>
    <x v="1"/>
    <x v="10"/>
    <x v="0"/>
  </r>
  <r>
    <d v="2026-03-30T00:00:00"/>
    <d v="2026-03-31T00:00:00"/>
    <s v="Journal Entry"/>
    <s v="Intentionally left blank for demo"/>
    <s v="66110 Airfare"/>
    <n v="66110"/>
    <s v="Expense"/>
    <s v="Travel"/>
    <x v="28"/>
    <s v="Intentionally left blank for demo"/>
    <s v="-Split-"/>
    <n v="-464.8"/>
    <n v="1561.25"/>
    <x v="2"/>
    <x v="4"/>
    <x v="1"/>
  </r>
  <r>
    <d v="2026-03-30T00:00:00"/>
    <d v="2026-03-31T00:00:00"/>
    <s v="Journal Entry"/>
    <s v="Intentionally left blank for demo"/>
    <s v="66110 Airfare"/>
    <n v="66110"/>
    <s v="Expense"/>
    <s v="Travel"/>
    <x v="28"/>
    <s v="Intentionally left blank for demo"/>
    <s v="-Split-"/>
    <n v="464.8"/>
    <n v="2026.05"/>
    <x v="2"/>
    <x v="4"/>
    <x v="1"/>
  </r>
  <r>
    <d v="2026-03-31T00:00:00"/>
    <d v="2026-03-31T00:00:00"/>
    <s v="Journal Entry"/>
    <s v="Intentionally left blank for demo"/>
    <s v="41000 Class B Revenue"/>
    <n v="41000"/>
    <s v="Income"/>
    <s v="ServiceFeeIncome"/>
    <x v="32"/>
    <s v="Intentionally left blank for demo"/>
    <s v="-Split-"/>
    <n v="47754.81"/>
    <n v="319063.63"/>
    <x v="1"/>
    <x v="5"/>
    <x v="2"/>
  </r>
  <r>
    <d v="2026-03-31T00:00:00"/>
    <d v="2026-03-31T00:00:00"/>
    <s v="Journal Entry"/>
    <s v="Intentionally left blank for demo"/>
    <s v="53100 Salaries &amp; Wages (COS)"/>
    <n v="53100"/>
    <s v="Cost of Goods Sold"/>
    <s v="CostOfLaborCos"/>
    <x v="0"/>
    <s v="Intentionally left blank for demo"/>
    <s v="-Split-"/>
    <n v="6888.5"/>
    <n v="90169.63"/>
    <x v="0"/>
    <x v="0"/>
    <x v="0"/>
  </r>
  <r>
    <d v="2026-03-31T00:00:00"/>
    <d v="2026-03-31T00:00:00"/>
    <s v="Journal Entry"/>
    <s v="Intentionally left blank for demo"/>
    <s v="53100 Salaries &amp; Wages (COS)"/>
    <n v="53100"/>
    <s v="Cost of Goods Sold"/>
    <s v="CostOfLaborCos"/>
    <x v="1"/>
    <s v="Intentionally left blank for demo"/>
    <s v="-Split-"/>
    <n v="3905.06"/>
    <n v="94074.69"/>
    <x v="1"/>
    <x v="0"/>
    <x v="0"/>
  </r>
  <r>
    <d v="2026-03-31T00:00:00"/>
    <d v="2026-03-31T00:00:00"/>
    <s v="Journal Entry"/>
    <s v="Intentionally left blank for demo"/>
    <s v="53200 Employee Benefits - Health"/>
    <n v="53200"/>
    <s v="Cost of Goods Sold"/>
    <s v="CostOfLaborCos"/>
    <x v="0"/>
    <s v="Intentionally left blank for demo"/>
    <s v="-Split-"/>
    <n v="1166.54"/>
    <n v="26202.93"/>
    <x v="0"/>
    <x v="0"/>
    <x v="0"/>
  </r>
  <r>
    <d v="2026-03-31T00:00:00"/>
    <d v="2026-03-31T00:00:00"/>
    <s v="Journal Entry"/>
    <s v="Intentionally left blank for demo"/>
    <s v="53200 Employee Benefits - Health"/>
    <n v="53200"/>
    <s v="Cost of Goods Sold"/>
    <s v="CostOfLaborCos"/>
    <x v="1"/>
    <s v="Intentionally left blank for demo"/>
    <s v="-Split-"/>
    <n v="727.63"/>
    <n v="26930.560000000001"/>
    <x v="1"/>
    <x v="0"/>
    <x v="0"/>
  </r>
  <r>
    <d v="2026-03-31T00:00:00"/>
    <d v="2026-03-31T00:00:00"/>
    <s v="Journal Entry"/>
    <s v="Intentionally left blank for demo"/>
    <s v="53230 Employee Benefits -  Life Insurance"/>
    <n v="53230"/>
    <s v="Cost of Goods Sold"/>
    <s v="CostOfLaborCos"/>
    <x v="0"/>
    <s v="Intentionally left blank for demo"/>
    <s v="-Split-"/>
    <n v="-49.55"/>
    <n v="-450.9"/>
    <x v="0"/>
    <x v="0"/>
    <x v="0"/>
  </r>
  <r>
    <d v="2026-03-31T00:00:00"/>
    <d v="2026-03-31T00:00:00"/>
    <s v="Journal Entry"/>
    <s v="Intentionally left blank for demo"/>
    <s v="53240 Employee Benefits - LTD"/>
    <n v="53240"/>
    <s v="Cost of Goods Sold"/>
    <s v="CostOfLaborCos"/>
    <x v="0"/>
    <s v="Intentionally left blank for demo"/>
    <s v="-Split-"/>
    <n v="21.98"/>
    <n v="344.03"/>
    <x v="0"/>
    <x v="0"/>
    <x v="0"/>
  </r>
  <r>
    <d v="2026-03-31T00:00:00"/>
    <d v="2026-03-31T00:00:00"/>
    <s v="Journal Entry"/>
    <s v="Intentionally left blank for demo"/>
    <s v="53240 Employee Benefits - LTD"/>
    <n v="53240"/>
    <s v="Cost of Goods Sold"/>
    <s v="CostOfLaborCos"/>
    <x v="1"/>
    <s v="Intentionally left blank for demo"/>
    <s v="-Split-"/>
    <n v="14.01"/>
    <n v="358.04"/>
    <x v="1"/>
    <x v="0"/>
    <x v="0"/>
  </r>
  <r>
    <d v="2026-03-31T00:00:00"/>
    <d v="2026-03-31T00:00:00"/>
    <s v="Journal Entry"/>
    <s v="Intentionally left blank for demo"/>
    <s v="53300 Payroll Expense - Employer Payroll Tax Expense"/>
    <n v="53300"/>
    <s v="Cost of Goods Sold"/>
    <s v="CostOfLaborCos"/>
    <x v="1"/>
    <s v="Intentionally left blank for demo"/>
    <s v="-Split-"/>
    <n v="290.14999999999998"/>
    <n v="7968.85"/>
    <x v="1"/>
    <x v="0"/>
    <x v="0"/>
  </r>
  <r>
    <d v="2026-03-31T00:00:00"/>
    <d v="2026-03-31T00:00:00"/>
    <s v="Journal Entry"/>
    <s v="Intentionally left blank for demo"/>
    <s v="53300 Payroll Expense - Employer Payroll Tax Expense"/>
    <n v="53300"/>
    <s v="Cost of Goods Sold"/>
    <s v="CostOfLaborCos"/>
    <x v="0"/>
    <s v="Intentionally left blank for demo"/>
    <s v="-Split-"/>
    <n v="507.36"/>
    <n v="8476.2099999999991"/>
    <x v="0"/>
    <x v="0"/>
    <x v="0"/>
  </r>
  <r>
    <d v="2026-03-31T00:00:00"/>
    <d v="2026-03-31T00:00:00"/>
    <s v="Journal Entry"/>
    <s v="Intentionally left blank for demo"/>
    <s v="61100 Salaries &amp; Wages"/>
    <n v="61100"/>
    <s v="Expense"/>
    <s v="PayrollExpenses"/>
    <x v="2"/>
    <s v="Intentionally left blank for demo"/>
    <s v="-Split-"/>
    <n v="8424.2000000000007"/>
    <n v="74850.009999999995"/>
    <x v="2"/>
    <x v="1"/>
    <x v="1"/>
  </r>
  <r>
    <d v="2026-03-31T00:00:00"/>
    <d v="2026-03-31T00:00:00"/>
    <s v="Journal Entry"/>
    <s v="Intentionally left blank for demo"/>
    <s v="61120 Guaranteed Payments - new"/>
    <n v="61120"/>
    <s v="Expense"/>
    <s v="PayrollExpenses"/>
    <x v="2"/>
    <s v="Intentionally left blank for demo"/>
    <s v="-Split-"/>
    <n v="5830.21"/>
    <n v="53054.89"/>
    <x v="2"/>
    <x v="1"/>
    <x v="1"/>
  </r>
  <r>
    <d v="2026-03-31T00:00:00"/>
    <d v="2026-03-31T00:00:00"/>
    <s v="Journal Entry"/>
    <s v="Intentionally left blank for demo"/>
    <s v="61200 Employee Benefits - Health - new"/>
    <n v="61200"/>
    <s v="Expense"/>
    <s v="PayrollExpenses"/>
    <x v="2"/>
    <s v="Intentionally left blank for demo"/>
    <s v="-Split-"/>
    <n v="748.68"/>
    <n v="16506.669999999998"/>
    <x v="2"/>
    <x v="1"/>
    <x v="1"/>
  </r>
  <r>
    <d v="2026-03-31T00:00:00"/>
    <d v="2026-03-31T00:00:00"/>
    <s v="Journal Entry"/>
    <s v="Intentionally left blank for demo"/>
    <s v="61230 Employee Benefits -  Life Insurance - new"/>
    <n v="61230"/>
    <s v="Expense"/>
    <s v="PayrollExpenses"/>
    <x v="2"/>
    <s v="Intentionally left blank for demo"/>
    <s v="-Split-"/>
    <n v="-3.96"/>
    <n v="-36.01"/>
    <x v="2"/>
    <x v="1"/>
    <x v="1"/>
  </r>
  <r>
    <d v="2026-03-31T00:00:00"/>
    <d v="2026-03-31T00:00:00"/>
    <s v="Journal Entry"/>
    <s v="Intentionally left blank for demo"/>
    <s v="61240 Employee Benefits - LTD"/>
    <n v="61240"/>
    <s v="Expense"/>
    <s v="AdvertisingPromotional"/>
    <x v="2"/>
    <s v="Intentionally left blank for demo"/>
    <s v="-Split-"/>
    <n v="19.100000000000001"/>
    <n v="204.73"/>
    <x v="2"/>
    <x v="1"/>
    <x v="1"/>
  </r>
  <r>
    <d v="2026-03-31T00:00:00"/>
    <d v="2026-03-31T00:00:00"/>
    <s v="Journal Entry"/>
    <s v="Intentionally left blank for demo"/>
    <s v="61300 Employer Payroll Tax Expense"/>
    <n v="61300"/>
    <s v="Expense"/>
    <s v="PayrollExpenses"/>
    <x v="2"/>
    <s v="Intentionally left blank for demo"/>
    <s v="-Split-"/>
    <n v="630.62"/>
    <n v="7660.12"/>
    <x v="2"/>
    <x v="1"/>
    <x v="1"/>
  </r>
  <r>
    <d v="2026-03-31T00:00:00"/>
    <d v="2026-03-31T00:00:00"/>
    <s v="Bill"/>
    <s v="Intentionally left blank for demo"/>
    <s v="67110 Software &amp; Apps"/>
    <n v="67110"/>
    <s v="Expense"/>
    <s v="OfficeGeneralAdministrativeExpenses"/>
    <x v="21"/>
    <s v="Intentionally left blank for demo"/>
    <s v="21000 Accounts Payable (A/P)"/>
    <n v="45"/>
    <n v="5657.38"/>
    <x v="2"/>
    <x v="9"/>
    <x v="1"/>
  </r>
  <r>
    <d v="2026-03-31T00:00:00"/>
    <d v="2026-03-31T00:00:00"/>
    <s v="Bill"/>
    <s v="Intentionally left blank for demo"/>
    <s v="67110 Software &amp; Apps"/>
    <n v="67110"/>
    <s v="Expense"/>
    <s v="OfficeGeneralAdministrativeExpenses"/>
    <x v="22"/>
    <s v="Intentionally left blank for demo"/>
    <s v="21000 Accounts Payable (A/P)"/>
    <n v="615"/>
    <n v="6272.38"/>
    <x v="2"/>
    <x v="9"/>
    <x v="1"/>
  </r>
  <r>
    <d v="2026-03-31T00:00:00"/>
    <d v="2026-03-31T00:00:00"/>
    <s v="Bill"/>
    <s v="Intentionally left blank for demo"/>
    <s v="67110 Software &amp; Apps"/>
    <n v="67110"/>
    <s v="Expense"/>
    <s v="OfficeGeneralAdministrativeExpenses"/>
    <x v="17"/>
    <s v="Intentionally left blank for demo"/>
    <s v="21000 Accounts Payable (A/P)"/>
    <n v="59.04"/>
    <n v="6331.42"/>
    <x v="2"/>
    <x v="9"/>
    <x v="1"/>
  </r>
  <r>
    <d v="2026-03-31T00:00:00"/>
    <d v="2026-03-31T00:00:00"/>
    <s v="Journal Entry"/>
    <s v="Intentionally left blank for demo"/>
    <s v="67110 Software &amp; Apps"/>
    <n v="67110"/>
    <s v="Expense"/>
    <s v="OfficeGeneralAdministrativeExpenses"/>
    <x v="21"/>
    <s v="Intentionally left blank for demo"/>
    <s v="-Split-"/>
    <n v="269.16000000000003"/>
    <n v="6600.58"/>
    <x v="2"/>
    <x v="9"/>
    <x v="1"/>
  </r>
  <r>
    <d v="2026-03-31T00:00:00"/>
    <d v="2026-03-31T00:00:00"/>
    <s v="Bill"/>
    <s v="Intentionally left blank for demo"/>
    <s v="67126 Other G&amp;A"/>
    <n v="67126"/>
    <s v="Expense"/>
    <s v="OtherBusinessExpenses"/>
    <x v="33"/>
    <s v="Intentionally left blank for demo"/>
    <s v="21000 Accounts Payable (A/P)"/>
    <n v="22.5"/>
    <n v="101.24"/>
    <x v="0"/>
    <x v="8"/>
    <x v="1"/>
  </r>
  <r>
    <d v="2026-03-31T00:00:00"/>
    <d v="2026-03-31T00:00:00"/>
    <s v="Bill"/>
    <s v="Intentionally left blank for demo"/>
    <s v="67126 Other G&amp;A"/>
    <n v="67126"/>
    <s v="Expense"/>
    <s v="OtherBusinessExpenses"/>
    <x v="33"/>
    <s v="Intentionally left blank for demo"/>
    <s v="21000 Accounts Payable (A/P)"/>
    <n v="250"/>
    <n v="351.24"/>
    <x v="0"/>
    <x v="8"/>
    <x v="1"/>
  </r>
  <r>
    <d v="2026-03-31T00:00:00"/>
    <d v="2026-03-31T00:00:00"/>
    <s v="Journal Entry"/>
    <s v="Intentionally left blank for demo"/>
    <s v="67220 Liability Insurance"/>
    <n v="67220"/>
    <s v="Expense"/>
    <s v="Insurance"/>
    <x v="34"/>
    <s v="Intentionally left blank for demo"/>
    <s v="-Split-"/>
    <n v="713.61"/>
    <n v="2140.83"/>
    <x v="2"/>
    <x v="7"/>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30A369D-66DE-424F-8E87-3E8CAC0DD97E}" name="PivotTable2" cacheId="10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S50:T59" firstHeaderRow="1" firstDataRow="1" firstDataCol="1"/>
  <pivotFields count="7">
    <pivotField numFmtId="14" showAll="0">
      <items count="16">
        <item h="1" x="0"/>
        <item h="1" x="1"/>
        <item h="1" x="2"/>
        <item h="1" x="3"/>
        <item h="1" x="4"/>
        <item h="1" x="5"/>
        <item h="1" x="6"/>
        <item h="1" x="7"/>
        <item h="1" x="8"/>
        <item h="1" x="9"/>
        <item h="1" x="10"/>
        <item h="1" x="11"/>
        <item h="1" x="12"/>
        <item h="1" x="13"/>
        <item x="14"/>
        <item t="default"/>
      </items>
    </pivotField>
    <pivotField showAll="0"/>
    <pivotField showAll="0"/>
    <pivotField showAll="0"/>
    <pivotField dataField="1" numFmtId="164" showAll="0"/>
    <pivotField axis="axisRow" showAll="0" sortType="descending">
      <items count="20">
        <item x="8"/>
        <item m="1" x="17"/>
        <item x="11"/>
        <item x="4"/>
        <item x="5"/>
        <item x="13"/>
        <item x="7"/>
        <item x="10"/>
        <item x="2"/>
        <item x="6"/>
        <item x="12"/>
        <item m="1" x="18"/>
        <item x="9"/>
        <item m="1" x="16"/>
        <item x="14"/>
        <item m="1" x="15"/>
        <item x="0"/>
        <item x="1"/>
        <item x="3"/>
        <item t="default"/>
      </items>
      <autoSortScope>
        <pivotArea dataOnly="0" outline="0" fieldPosition="0">
          <references count="1">
            <reference field="4294967294" count="1" selected="0">
              <x v="0"/>
            </reference>
          </references>
        </pivotArea>
      </autoSortScope>
    </pivotField>
    <pivotField showAll="0">
      <items count="5">
        <item h="1" x="1"/>
        <item x="2"/>
        <item h="1" x="0"/>
        <item h="1" m="1" x="3"/>
        <item t="default"/>
      </items>
    </pivotField>
  </pivotFields>
  <rowFields count="1">
    <field x="5"/>
  </rowFields>
  <rowItems count="9">
    <i>
      <x v="4"/>
    </i>
    <i>
      <x v="9"/>
    </i>
    <i>
      <x/>
    </i>
    <i>
      <x v="12"/>
    </i>
    <i>
      <x v="5"/>
    </i>
    <i>
      <x v="7"/>
    </i>
    <i>
      <x v="10"/>
    </i>
    <i>
      <x v="6"/>
    </i>
    <i t="grand">
      <x/>
    </i>
  </rowItems>
  <colItems count="1">
    <i/>
  </colItems>
  <dataFields count="1">
    <dataField name="Sum of Amount" fld="4" baseField="0" baseItem="0" numFmtId="164"/>
  </dataFields>
  <formats count="25">
    <format dxfId="75">
      <pivotArea type="all" dataOnly="0" outline="0" fieldPosition="0"/>
    </format>
    <format dxfId="74">
      <pivotArea outline="0" collapsedLevelsAreSubtotals="1" fieldPosition="0"/>
    </format>
    <format dxfId="73">
      <pivotArea field="5" type="button" dataOnly="0" labelOnly="1" outline="0" axis="axisRow" fieldPosition="0"/>
    </format>
    <format dxfId="72">
      <pivotArea dataOnly="0" labelOnly="1" fieldPosition="0">
        <references count="1">
          <reference field="5" count="8">
            <x v="0"/>
            <x v="4"/>
            <x v="5"/>
            <x v="6"/>
            <x v="7"/>
            <x v="9"/>
            <x v="10"/>
            <x v="12"/>
          </reference>
        </references>
      </pivotArea>
    </format>
    <format dxfId="71">
      <pivotArea dataOnly="0" labelOnly="1" grandRow="1" outline="0" fieldPosition="0"/>
    </format>
    <format dxfId="70">
      <pivotArea dataOnly="0" labelOnly="1" outline="0" axis="axisValues" fieldPosition="0"/>
    </format>
    <format dxfId="69">
      <pivotArea type="all" dataOnly="0" outline="0" fieldPosition="0"/>
    </format>
    <format dxfId="68">
      <pivotArea outline="0" collapsedLevelsAreSubtotals="1" fieldPosition="0"/>
    </format>
    <format dxfId="67">
      <pivotArea field="5" type="button" dataOnly="0" labelOnly="1" outline="0" axis="axisRow" fieldPosition="0"/>
    </format>
    <format dxfId="66">
      <pivotArea dataOnly="0" labelOnly="1" fieldPosition="0">
        <references count="1">
          <reference field="5" count="8">
            <x v="0"/>
            <x v="4"/>
            <x v="5"/>
            <x v="6"/>
            <x v="7"/>
            <x v="9"/>
            <x v="10"/>
            <x v="12"/>
          </reference>
        </references>
      </pivotArea>
    </format>
    <format dxfId="65">
      <pivotArea dataOnly="0" labelOnly="1" grandRow="1" outline="0" fieldPosition="0"/>
    </format>
    <format dxfId="64">
      <pivotArea dataOnly="0" labelOnly="1" outline="0" axis="axisValues" fieldPosition="0"/>
    </format>
    <format dxfId="63">
      <pivotArea type="all" dataOnly="0" outline="0" fieldPosition="0"/>
    </format>
    <format dxfId="62">
      <pivotArea outline="0" collapsedLevelsAreSubtotals="1" fieldPosition="0"/>
    </format>
    <format dxfId="61">
      <pivotArea field="5" type="button" dataOnly="0" labelOnly="1" outline="0" axis="axisRow" fieldPosition="0"/>
    </format>
    <format dxfId="60">
      <pivotArea dataOnly="0" labelOnly="1" fieldPosition="0">
        <references count="1">
          <reference field="5" count="8">
            <x v="0"/>
            <x v="4"/>
            <x v="5"/>
            <x v="6"/>
            <x v="7"/>
            <x v="9"/>
            <x v="10"/>
            <x v="12"/>
          </reference>
        </references>
      </pivotArea>
    </format>
    <format dxfId="59">
      <pivotArea dataOnly="0" labelOnly="1" grandRow="1" outline="0" fieldPosition="0"/>
    </format>
    <format dxfId="58">
      <pivotArea dataOnly="0" labelOnly="1" outline="0" axis="axisValues" fieldPosition="0"/>
    </format>
    <format dxfId="57">
      <pivotArea type="all" dataOnly="0" outline="0" fieldPosition="0"/>
    </format>
    <format dxfId="56">
      <pivotArea outline="0" collapsedLevelsAreSubtotals="1" fieldPosition="0"/>
    </format>
    <format dxfId="55">
      <pivotArea field="5" type="button" dataOnly="0" labelOnly="1" outline="0" axis="axisRow" fieldPosition="0"/>
    </format>
    <format dxfId="54">
      <pivotArea dataOnly="0" labelOnly="1" fieldPosition="0">
        <references count="1">
          <reference field="5" count="8">
            <x v="0"/>
            <x v="4"/>
            <x v="5"/>
            <x v="6"/>
            <x v="7"/>
            <x v="9"/>
            <x v="10"/>
            <x v="12"/>
          </reference>
        </references>
      </pivotArea>
    </format>
    <format dxfId="53">
      <pivotArea dataOnly="0" labelOnly="1" grandRow="1" outline="0" fieldPosition="0"/>
    </format>
    <format dxfId="52">
      <pivotArea dataOnly="0" labelOnly="1" outline="0" axis="axisValues" fieldPosition="0"/>
    </format>
    <format dxfId="51">
      <pivotArea dataOnly="0" labelOnly="1" outline="0" axis="axisValues"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336375C-8EDE-4E75-BE75-C28797FE36FA}" name="PivotTable4" cacheId="102" applyNumberFormats="0" applyBorderFormats="0" applyFontFormats="0" applyPatternFormats="0" applyAlignmentFormats="0" applyWidthHeightFormats="1" dataCaption="Values" updatedVersion="8" minRefreshableVersion="3" itemPrintTitles="1" createdVersion="8" indent="0" outline="1" outlineData="1" multipleFieldFilters="0">
  <location ref="F38:G60" firstHeaderRow="1" firstDataRow="1" firstDataCol="1"/>
  <pivotFields count="16">
    <pivotField numFmtId="14" showAll="0"/>
    <pivotField numFmtId="14" showAll="0"/>
    <pivotField showAll="0"/>
    <pivotField showAll="0"/>
    <pivotField showAll="0"/>
    <pivotField numFmtId="1" showAll="0"/>
    <pivotField showAll="0"/>
    <pivotField showAll="0"/>
    <pivotField axis="axisRow" showAll="0">
      <items count="53">
        <item x="32"/>
        <item m="1" x="49"/>
        <item m="1" x="51"/>
        <item x="7"/>
        <item m="1" x="48"/>
        <item m="1" x="46"/>
        <item x="0"/>
        <item m="1" x="47"/>
        <item m="1" x="35"/>
        <item m="1" x="36"/>
        <item m="1" x="37"/>
        <item m="1" x="50"/>
        <item x="1"/>
        <item x="2"/>
        <item x="3"/>
        <item x="4"/>
        <item x="5"/>
        <item x="6"/>
        <item x="8"/>
        <item x="12"/>
        <item x="13"/>
        <item m="1" x="38"/>
        <item x="15"/>
        <item x="16"/>
        <item m="1" x="39"/>
        <item x="18"/>
        <item x="19"/>
        <item x="20"/>
        <item m="1" x="40"/>
        <item m="1" x="41"/>
        <item x="23"/>
        <item x="24"/>
        <item m="1" x="42"/>
        <item m="1" x="43"/>
        <item m="1" x="44"/>
        <item x="28"/>
        <item x="29"/>
        <item x="30"/>
        <item x="31"/>
        <item x="33"/>
        <item m="1" x="45"/>
        <item x="9"/>
        <item x="10"/>
        <item x="11"/>
        <item x="14"/>
        <item x="17"/>
        <item x="21"/>
        <item x="22"/>
        <item x="25"/>
        <item x="26"/>
        <item x="27"/>
        <item x="34"/>
        <item t="default"/>
      </items>
    </pivotField>
    <pivotField showAll="0"/>
    <pivotField showAll="0"/>
    <pivotField dataField="1" numFmtId="164" showAll="0"/>
    <pivotField numFmtId="164" showAll="0"/>
    <pivotField showAll="0">
      <items count="4">
        <item x="0"/>
        <item x="1"/>
        <item x="2"/>
        <item t="default"/>
      </items>
    </pivotField>
    <pivotField showAll="0" sortType="descending">
      <items count="16">
        <item x="4"/>
        <item x="6"/>
        <item x="5"/>
        <item m="1" x="12"/>
        <item x="0"/>
        <item x="1"/>
        <item x="7"/>
        <item x="11"/>
        <item x="8"/>
        <item x="2"/>
        <item x="10"/>
        <item x="3"/>
        <item m="1" x="13"/>
        <item x="9"/>
        <item m="1" x="14"/>
        <item t="default"/>
      </items>
      <autoSortScope>
        <pivotArea dataOnly="0" outline="0" fieldPosition="0">
          <references count="1">
            <reference field="4294967294" count="1" selected="0">
              <x v="0"/>
            </reference>
          </references>
        </pivotArea>
      </autoSortScope>
    </pivotField>
    <pivotField showAll="0">
      <items count="4">
        <item h="1" x="0"/>
        <item x="1"/>
        <item h="1" x="2"/>
        <item t="default"/>
      </items>
    </pivotField>
  </pivotFields>
  <rowFields count="1">
    <field x="8"/>
  </rowFields>
  <rowItems count="22">
    <i>
      <x v="13"/>
    </i>
    <i>
      <x v="14"/>
    </i>
    <i>
      <x v="15"/>
    </i>
    <i>
      <x v="16"/>
    </i>
    <i>
      <x v="19"/>
    </i>
    <i>
      <x v="20"/>
    </i>
    <i>
      <x v="22"/>
    </i>
    <i>
      <x v="23"/>
    </i>
    <i>
      <x v="25"/>
    </i>
    <i>
      <x v="26"/>
    </i>
    <i>
      <x v="30"/>
    </i>
    <i>
      <x v="31"/>
    </i>
    <i>
      <x v="35"/>
    </i>
    <i>
      <x v="36"/>
    </i>
    <i>
      <x v="37"/>
    </i>
    <i>
      <x v="39"/>
    </i>
    <i>
      <x v="44"/>
    </i>
    <i>
      <x v="45"/>
    </i>
    <i>
      <x v="46"/>
    </i>
    <i>
      <x v="47"/>
    </i>
    <i>
      <x v="51"/>
    </i>
    <i t="grand">
      <x/>
    </i>
  </rowItems>
  <colItems count="1">
    <i/>
  </colItems>
  <dataFields count="1">
    <dataField name="Sum of Amount" fld="11" baseField="0" baseItem="0" numFmtId="166"/>
  </dataFields>
  <formats count="1">
    <format dxfId="49">
      <pivotArea outline="0" collapsedLevelsAreSubtotals="1"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2364DFF-5A42-423A-8D85-259AC5A3195C}" name="PivotTable3" cacheId="102" applyNumberFormats="0" applyBorderFormats="0" applyFontFormats="0" applyPatternFormats="0" applyAlignmentFormats="0" applyWidthHeightFormats="1" dataCaption="Values" updatedVersion="8" minRefreshableVersion="3" itemPrintTitles="1" createdVersion="8" indent="0" outline="1" outlineData="1" multipleFieldFilters="0">
  <location ref="C38:D47" firstHeaderRow="1" firstDataRow="1" firstDataCol="1"/>
  <pivotFields count="16">
    <pivotField numFmtId="14" showAll="0"/>
    <pivotField numFmtId="14" showAll="0"/>
    <pivotField showAll="0"/>
    <pivotField showAll="0"/>
    <pivotField showAll="0"/>
    <pivotField numFmtId="1" showAll="0"/>
    <pivotField showAll="0"/>
    <pivotField showAll="0"/>
    <pivotField showAll="0"/>
    <pivotField showAll="0"/>
    <pivotField showAll="0"/>
    <pivotField dataField="1" numFmtId="164" showAll="0"/>
    <pivotField numFmtId="164" showAll="0"/>
    <pivotField showAll="0">
      <items count="4">
        <item x="0"/>
        <item x="1"/>
        <item x="2"/>
        <item t="default"/>
      </items>
    </pivotField>
    <pivotField axis="axisRow" showAll="0" sortType="descending">
      <items count="16">
        <item x="4"/>
        <item m="1" x="12"/>
        <item x="0"/>
        <item x="1"/>
        <item x="7"/>
        <item x="11"/>
        <item x="8"/>
        <item x="2"/>
        <item x="3"/>
        <item m="1" x="13"/>
        <item x="9"/>
        <item m="1" x="14"/>
        <item x="5"/>
        <item x="6"/>
        <item x="10"/>
        <item t="default"/>
      </items>
      <autoSortScope>
        <pivotArea dataOnly="0" outline="0" fieldPosition="0">
          <references count="1">
            <reference field="4294967294" count="1" selected="0">
              <x v="0"/>
            </reference>
          </references>
        </pivotArea>
      </autoSortScope>
    </pivotField>
    <pivotField showAll="0">
      <items count="4">
        <item h="1" x="0"/>
        <item x="1"/>
        <item h="1" x="2"/>
        <item t="default"/>
      </items>
    </pivotField>
  </pivotFields>
  <rowFields count="1">
    <field x="14"/>
  </rowFields>
  <rowItems count="9">
    <i>
      <x v="3"/>
    </i>
    <i>
      <x v="7"/>
    </i>
    <i>
      <x/>
    </i>
    <i>
      <x v="10"/>
    </i>
    <i>
      <x v="4"/>
    </i>
    <i>
      <x v="6"/>
    </i>
    <i>
      <x v="8"/>
    </i>
    <i>
      <x v="5"/>
    </i>
    <i t="grand">
      <x/>
    </i>
  </rowItems>
  <colItems count="1">
    <i/>
  </colItems>
  <dataFields count="1">
    <dataField name="Sum of Amount" fld="11" baseField="0" baseItem="0" numFmtId="166"/>
  </dataFields>
  <formats count="1">
    <format dxfId="50">
      <pivotArea outline="0" collapsedLevelsAreSubtotals="1"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onth" xr10:uid="{8215678D-85A1-4860-A96B-C63F22D34F5F}" sourceName="Month">
  <pivotTables>
    <pivotTable tabId="23" name="PivotTable2"/>
  </pivotTables>
  <data>
    <tabular pivotCacheId="922949542">
      <items count="15">
        <i x="0"/>
        <i x="1"/>
        <i x="2"/>
        <i x="3"/>
        <i x="4"/>
        <i x="5"/>
        <i x="6"/>
        <i x="7"/>
        <i x="8"/>
        <i x="9"/>
        <i x="10"/>
        <i x="11"/>
        <i x="12"/>
        <i x="13"/>
        <i x="1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corn_Map_1___Statement_Section" xr10:uid="{19FD6264-BE80-43FB-98E7-40D7700436AE}" sourceName="Acorn Map 1 - Statement Section">
  <pivotTables>
    <pivotTable tabId="23" name="PivotTable2"/>
  </pivotTables>
  <data>
    <tabular pivotCacheId="922949542">
      <items count="4">
        <i x="1"/>
        <i x="2" s="1"/>
        <i x="0"/>
        <i x="3"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lass" xr10:uid="{745E9F30-0F86-45A0-8E74-1728F441527E}" sourceName="Class">
  <pivotTables>
    <pivotTable tabId="27" name="PivotTable3"/>
    <pivotTable tabId="27" name="PivotTable4"/>
  </pivotTables>
  <data>
    <tabular pivotCacheId="2108152976">
      <items count="3">
        <i x="0" s="1"/>
        <i x="2" s="1"/>
        <i x="1"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corn_Map_1___Account_Group" xr10:uid="{4D711A95-424F-4CD9-9144-4F086175E120}" sourceName="Acorn Map 1 - Account Group">
  <pivotTables>
    <pivotTable tabId="27" name="PivotTable3"/>
    <pivotTable tabId="27" name="PivotTable4"/>
  </pivotTables>
  <data>
    <tabular pivotCacheId="2108152976">
      <items count="15">
        <i x="4" s="1"/>
        <i x="1" s="1"/>
        <i x="7" s="1"/>
        <i x="11" s="1"/>
        <i x="8" s="1"/>
        <i x="2" s="1"/>
        <i x="3" s="1"/>
        <i x="9" s="1"/>
        <i x="6" s="1" nd="1"/>
        <i x="5" s="1" nd="1"/>
        <i x="12" s="1" nd="1"/>
        <i x="0" s="1" nd="1"/>
        <i x="10" s="1" nd="1"/>
        <i x="13" s="1" nd="1"/>
        <i x="14"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corn_Map_1___Statement_Section1" xr10:uid="{EDB53317-0ABE-4620-B51B-472377E17FCA}" sourceName="Acorn Map 1 - Statement Section">
  <pivotTables>
    <pivotTable tabId="27" name="PivotTable3"/>
    <pivotTable tabId="27" name="PivotTable4"/>
  </pivotTables>
  <data>
    <tabular pivotCacheId="2108152976">
      <items count="3">
        <i x="0"/>
        <i x="1" s="1"/>
        <i x="2"/>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onth" xr10:uid="{C488E1C4-9BDC-4AF0-A274-69581792F820}" cache="Slicer_Month" caption="Month" startItem="7" style="SlicerStyleDark4" rowHeight="234950"/>
  <slicer name="Acorn Map 1 - Statement Section" xr10:uid="{DC88A33C-7ECE-4939-B65C-2339AA9EC374}" cache="Slicer_Acorn_Map_1___Statement_Section" caption="Acorn Map 1 - Statement Section" style="SlicerStyleDark4" rowHeight="2349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lass" xr10:uid="{AF9E1C48-9B86-4BAF-B752-9777B0E31E34}" cache="Slicer_Class" caption="Class" style="SlicerStyleDark2" rowHeight="234950"/>
  <slicer name="Acorn Map 1 - Account Group" xr10:uid="{D31D9967-E507-4779-A787-63832E4BEE2D}" cache="Slicer_Acorn_Map_1___Account_Group" caption="Acorn Map 1 - Account Group" style="SlicerStyleLight2" rowHeight="234950"/>
  <slicer name="Acorn Map 1 - Statement Section 1" xr10:uid="{6127031E-AAAE-4A8C-B19A-755E4868D505}" cache="Slicer_Acorn_Map_1___Statement_Section1" caption="Acorn Map 1 - Statement Section" style="SlicerStyleDark2"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0F0D0A6-5F61-4AE1-8E2E-EA291204AE92}" name="Table6" displayName="Table6" ref="B8:C92" totalsRowShown="0">
  <autoFilter ref="B8:C92" xr:uid="{74390B42-93FD-4858-A137-3460294EEBAD}"/>
  <tableColumns count="2">
    <tableColumn id="1" xr3:uid="{B18C1A29-B630-41CE-B01F-1EF76D86E1A9}" name="Date" dataDxfId="48"/>
    <tableColumn id="2" xr3:uid="{14C5BE40-A9B0-4300-B3E4-FA8A5CFE5303}" name="Quarter" dataDxfId="47">
      <calculatedColumnFormula>IFERROR(TEXT(B9,"yyyy") &amp; " Q" &amp; ROUNDUP(MONTH(B9)/3,0),"")</calculatedColumnFormula>
    </tableColum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0E46F4D-53BA-48E2-936D-9425DEE19E18}" name="Dates" displayName="Dates" ref="E8:P32" totalsRowShown="0" headerRowDxfId="46">
  <autoFilter ref="E8:P32" xr:uid="{220C9125-29D3-4342-92CE-1A4630FF7B87}"/>
  <tableColumns count="12">
    <tableColumn id="1" xr3:uid="{38F67986-E0F5-4DE2-97C3-8C4C8EC8DC57}" name="Date" dataDxfId="45">
      <calculatedColumnFormula>EOMONTH(E8,1)</calculatedColumnFormula>
    </tableColumn>
    <tableColumn id="2" xr3:uid="{DC6A56BF-937E-48FA-BA63-C1908970444C}" name="Quarter" dataDxfId="44">
      <calculatedColumnFormula>"Q"&amp;ROUNDUP(MONTH(Dates[[#This Row],[Date]])/3,0)&amp;" "&amp;YEAR(Dates[[#This Row],[Date]])</calculatedColumnFormula>
    </tableColumn>
    <tableColumn id="3" xr3:uid="{F972C43F-15C4-4189-97C5-19DDC2CBCBD7}" name="Year" dataDxfId="43">
      <calculatedColumnFormula>YEAR(Dates[[#This Row],[Date]])</calculatedColumnFormula>
    </tableColumn>
    <tableColumn id="4" xr3:uid="{3DB6B422-C77E-42C1-8A51-D874406EEAF0}" name="Quarter Start" dataDxfId="42">
      <calculatedColumnFormula>Dates[[#This Row],[Date]]</calculatedColumnFormula>
    </tableColumn>
    <tableColumn id="5" xr3:uid="{076A2B4A-DAB3-4338-94EB-830D05A6B6D8}" name="Quarter End" dataDxfId="41">
      <calculatedColumnFormula>EOMONTH(Dates[[#This Row],[Quarter Start]],2)</calculatedColumnFormula>
    </tableColumn>
    <tableColumn id="8" xr3:uid="{15873885-6657-4443-AEC1-D828A4D02288}" name="Prior Quarter" dataDxfId="40">
      <calculatedColumnFormula>"Q"&amp;ROUNDUP(MONTH(EOMONTH(Dates[[#This Row],[Date]],-3))/3,0)&amp;" "&amp;YEAR(Dates[[#This Row],[Date]])</calculatedColumnFormula>
    </tableColumn>
    <tableColumn id="6" xr3:uid="{3CF45C4C-E41E-4D60-966B-98603E8B2617}" name="Prior Quarter Start" dataDxfId="39">
      <calculatedColumnFormula>EOMONTH(Dates[[#This Row],[Quarter Start]],-3)</calculatedColumnFormula>
    </tableColumn>
    <tableColumn id="7" xr3:uid="{DC8BC4A6-9B17-4D52-BD7C-B0906DAF70F5}" name="Prior Quarter End" dataDxfId="38">
      <calculatedColumnFormula>EOMONTH(Dates[[#This Row],[Prior Quarter Start]],2)</calculatedColumnFormula>
    </tableColumn>
    <tableColumn id="9" xr3:uid="{E71599D3-16ED-4D19-93E4-92BAFCC2AC0C}" name="Year Start" dataDxfId="37">
      <calculatedColumnFormula>DATE(YEAR(Dates[[#This Row],[Date]]), 1, 31)</calculatedColumnFormula>
    </tableColumn>
    <tableColumn id="10" xr3:uid="{390F597E-668C-4D62-8101-7690D792FF70}" name="Year End" dataDxfId="36">
      <calculatedColumnFormula>DATE(YEAR(Dates[[#This Row],[Date]]), 12, 31)</calculatedColumnFormula>
    </tableColumn>
    <tableColumn id="11" xr3:uid="{E8CCFAEC-7D10-489F-9422-921F70DAB975}" name="PY Start" dataDxfId="35">
      <calculatedColumnFormula>EOMONTH(Dates[[#This Row],[Year Start]],-12)</calculatedColumnFormula>
    </tableColumn>
    <tableColumn id="12" xr3:uid="{2307B29C-393E-452D-B04D-383D2856606A}" name="PY End" dataDxfId="34">
      <calculatedColumnFormula>EOMONTH(Dates[[#This Row],[Year End]],-12)</calculatedColumnFormula>
    </tableColumn>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239817A-38D9-4CF6-B346-1520D18BF39F}" name="DateRanges" displayName="DateRanges" ref="R8:T18" totalsRowShown="0" headerRowDxfId="33">
  <autoFilter ref="R8:T18" xr:uid="{E1AFC05E-7DE9-48CF-9A5B-657464D8F707}"/>
  <tableColumns count="3">
    <tableColumn id="1" xr3:uid="{CBA06809-EBCA-482F-A745-23DA5A45C169}" name="Period" dataDxfId="32"/>
    <tableColumn id="2" xr3:uid="{8BFABB20-13F5-41DC-B4D2-923217B4732B}" name="Start Date" dataDxfId="31"/>
    <tableColumn id="3" xr3:uid="{2745CF2C-AB81-448F-9160-5D7C61F8411C}" name="End Date" dataDxfId="30"/>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Oakbridge">
      <a:dk1>
        <a:srgbClr val="3C2F2F"/>
      </a:dk1>
      <a:lt1>
        <a:srgbClr val="FFFFFF"/>
      </a:lt1>
      <a:dk2>
        <a:srgbClr val="5A534C"/>
      </a:dk2>
      <a:lt2>
        <a:srgbClr val="F8FAFB"/>
      </a:lt2>
      <a:accent1>
        <a:srgbClr val="07393C"/>
      </a:accent1>
      <a:accent2>
        <a:srgbClr val="C97D60"/>
      </a:accent2>
      <a:accent3>
        <a:srgbClr val="337E8D"/>
      </a:accent3>
      <a:accent4>
        <a:srgbClr val="29A1AF"/>
      </a:accent4>
      <a:accent5>
        <a:srgbClr val="11455B"/>
      </a:accent5>
      <a:accent6>
        <a:srgbClr val="64748B"/>
      </a:accent6>
      <a:hlink>
        <a:srgbClr val="5A7D9A"/>
      </a:hlink>
      <a:folHlink>
        <a:srgbClr val="3F5E74"/>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822"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276BF9D6-5D04-46ED-90DE-A33C03B1F1D4}">
  <we:reference id="WA200009404" version="1.0.0.8" store="Omex" storeType="OMEX"/>
  <we:alternateReferences>
    <we:reference id="WA200009404" version="1.0.0.8" store="WA200009404" storeType="OMEX"/>
  </we:alternateReferences>
  <we:properties>
    <we:property name="claude.fileId" value="&quot;314e815a-d9e1-45f6-b684-0e3dcbf4b4d5&quot;"/>
  </we:properties>
  <we:bindings/>
  <we:snapshot xmlns:r="http://schemas.openxmlformats.org/officeDocument/2006/relationships"/>
</we:webextension>
</file>

<file path=xl/worksheets/_rels/sheet2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3.xml"/><Relationship Id="rId1" Type="http://schemas.openxmlformats.org/officeDocument/2006/relationships/pivotTable" Target="../pivotTables/pivotTable2.xml"/><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97D60"/>
  </sheetPr>
  <dimension ref="A1:E47"/>
  <sheetViews>
    <sheetView showGridLines="0" tabSelected="1" zoomScaleNormal="100" workbookViewId="0">
      <pane ySplit="5" topLeftCell="A6" activePane="bottomLeft" state="frozen"/>
      <selection pane="bottomLeft"/>
    </sheetView>
  </sheetViews>
  <sheetFormatPr defaultRowHeight="14.4" x14ac:dyDescent="0.3"/>
  <cols>
    <col min="1" max="1" width="0.6640625" customWidth="1"/>
    <col min="2" max="2" width="40" customWidth="1"/>
    <col min="3" max="4" width="15" customWidth="1"/>
    <col min="5" max="5" width="20" customWidth="1"/>
  </cols>
  <sheetData>
    <row r="1" spans="1:5" ht="17.399999999999999" x14ac:dyDescent="0.3">
      <c r="A1" s="54" t="s">
        <v>389</v>
      </c>
    </row>
    <row r="2" spans="1:5" x14ac:dyDescent="0.3">
      <c r="A2" s="38" t="s">
        <v>0</v>
      </c>
    </row>
    <row r="3" spans="1:5" x14ac:dyDescent="0.3">
      <c r="A3" s="55" t="s">
        <v>1</v>
      </c>
    </row>
    <row r="5" spans="1:5" x14ac:dyDescent="0.3">
      <c r="B5" s="36" t="s">
        <v>2</v>
      </c>
      <c r="C5" s="56"/>
      <c r="D5" s="56"/>
      <c r="E5" s="56"/>
    </row>
    <row r="6" spans="1:5" x14ac:dyDescent="0.3">
      <c r="B6" s="57" t="s">
        <v>3</v>
      </c>
    </row>
    <row r="7" spans="1:5" x14ac:dyDescent="0.3">
      <c r="B7" s="57" t="s">
        <v>4</v>
      </c>
    </row>
    <row r="9" spans="1:5" x14ac:dyDescent="0.3">
      <c r="B9" s="36" t="s">
        <v>5</v>
      </c>
      <c r="C9" s="56"/>
      <c r="D9" s="56"/>
      <c r="E9" s="56"/>
    </row>
    <row r="10" spans="1:5" x14ac:dyDescent="0.3">
      <c r="B10" s="37" t="s">
        <v>6</v>
      </c>
    </row>
    <row r="11" spans="1:5" x14ac:dyDescent="0.3">
      <c r="B11" s="38" t="s">
        <v>7</v>
      </c>
      <c r="D11" s="59" t="str">
        <f>'GL Summary Validation'!D6</f>
        <v>✓ PASS</v>
      </c>
    </row>
    <row r="12" spans="1:5" x14ac:dyDescent="0.3">
      <c r="B12" s="38" t="s">
        <v>8</v>
      </c>
      <c r="D12" s="60">
        <f>'GL Summary Validation'!D7</f>
        <v>92</v>
      </c>
    </row>
    <row r="13" spans="1:5" x14ac:dyDescent="0.3">
      <c r="B13" s="38" t="s">
        <v>9</v>
      </c>
      <c r="D13" s="60">
        <f>'GL Summary Validation'!D8</f>
        <v>92</v>
      </c>
    </row>
    <row r="14" spans="1:5" x14ac:dyDescent="0.3">
      <c r="B14" s="38" t="s">
        <v>10</v>
      </c>
      <c r="D14" s="60">
        <f>'GL Summary Validation'!D9</f>
        <v>0</v>
      </c>
    </row>
    <row r="15" spans="1:5" x14ac:dyDescent="0.3">
      <c r="B15" s="38" t="s">
        <v>11</v>
      </c>
      <c r="D15" s="60">
        <f>'GL Summary Validation'!D10</f>
        <v>0</v>
      </c>
    </row>
    <row r="16" spans="1:5" x14ac:dyDescent="0.3">
      <c r="D16" s="61"/>
    </row>
    <row r="17" spans="2:5" x14ac:dyDescent="0.3">
      <c r="B17" s="37" t="s">
        <v>548</v>
      </c>
      <c r="D17" s="61"/>
    </row>
    <row r="18" spans="2:5" x14ac:dyDescent="0.3">
      <c r="B18" s="38" t="s">
        <v>12</v>
      </c>
      <c r="D18" s="62">
        <f>'Acorn Inc. Map 1 P&amp;L'!C48</f>
        <v>0</v>
      </c>
      <c r="E18" s="45" t="str">
        <f>IF(ABS(D18)&lt;0.01,"Passed","⚠ Needs Review")</f>
        <v>Passed</v>
      </c>
    </row>
    <row r="19" spans="2:5" x14ac:dyDescent="0.3">
      <c r="B19" s="38" t="s">
        <v>13</v>
      </c>
      <c r="D19" s="62">
        <f>'Acorn Inc. Map 1 BS'!C36</f>
        <v>0</v>
      </c>
      <c r="E19" s="45" t="str">
        <f>IF(ABS(D19)&lt;0.01,"Passed","⚠ Needs Review")</f>
        <v>Passed</v>
      </c>
    </row>
    <row r="20" spans="2:5" x14ac:dyDescent="0.3">
      <c r="B20" s="38" t="s">
        <v>14</v>
      </c>
      <c r="D20" s="62">
        <f>'Acorn Inc. Map 1 BS'!C39</f>
        <v>0</v>
      </c>
      <c r="E20" s="45" t="str">
        <f>IF(ABS(D20)&lt;0.01,"Passed","⚠ Needs Review")</f>
        <v>Passed</v>
      </c>
    </row>
    <row r="21" spans="2:5" x14ac:dyDescent="0.3">
      <c r="B21" s="38" t="s">
        <v>15</v>
      </c>
      <c r="D21" s="62">
        <f>'Acorn Inc. Map 1 BS'!C42</f>
        <v>0</v>
      </c>
      <c r="E21" s="45" t="str">
        <f>IF(ABS(D21)&lt;0.01,"Passed","⚠ Needs Review")</f>
        <v>Passed</v>
      </c>
    </row>
    <row r="22" spans="2:5" x14ac:dyDescent="0.3">
      <c r="B22" s="38" t="s">
        <v>16</v>
      </c>
      <c r="D22" s="62">
        <f>'Acorn Inc. Map 1 BS'!C33</f>
        <v>0</v>
      </c>
      <c r="E22" s="45" t="str">
        <f>IF(ABS(D22)&lt;0.01,"Passed","⚠ Needs Review")</f>
        <v>Passed</v>
      </c>
    </row>
    <row r="24" spans="2:5" x14ac:dyDescent="0.3">
      <c r="B24" s="36" t="s">
        <v>17</v>
      </c>
      <c r="C24" s="56"/>
      <c r="D24" s="56"/>
      <c r="E24" s="56"/>
    </row>
    <row r="25" spans="2:5" x14ac:dyDescent="0.3">
      <c r="B25" s="37" t="s">
        <v>6</v>
      </c>
    </row>
    <row r="26" spans="2:5" x14ac:dyDescent="0.3">
      <c r="B26" s="58" t="s">
        <v>18</v>
      </c>
    </row>
    <row r="27" spans="2:5" x14ac:dyDescent="0.3">
      <c r="B27" s="58" t="s">
        <v>19</v>
      </c>
    </row>
    <row r="28" spans="2:5" x14ac:dyDescent="0.3">
      <c r="B28" s="58" t="s">
        <v>20</v>
      </c>
    </row>
    <row r="29" spans="2:5" x14ac:dyDescent="0.3">
      <c r="B29" s="58" t="s">
        <v>21</v>
      </c>
    </row>
    <row r="31" spans="2:5" x14ac:dyDescent="0.3">
      <c r="B31" s="37" t="s">
        <v>22</v>
      </c>
    </row>
    <row r="32" spans="2:5" x14ac:dyDescent="0.3">
      <c r="B32" s="58" t="s">
        <v>387</v>
      </c>
    </row>
    <row r="33" spans="2:2" x14ac:dyDescent="0.3">
      <c r="B33" s="58" t="s">
        <v>388</v>
      </c>
    </row>
    <row r="35" spans="2:2" x14ac:dyDescent="0.3">
      <c r="B35" s="37" t="s">
        <v>23</v>
      </c>
    </row>
    <row r="36" spans="2:2" x14ac:dyDescent="0.3">
      <c r="B36" s="58" t="s">
        <v>24</v>
      </c>
    </row>
    <row r="38" spans="2:2" x14ac:dyDescent="0.3">
      <c r="B38" s="37" t="s">
        <v>25</v>
      </c>
    </row>
    <row r="39" spans="2:2" x14ac:dyDescent="0.3">
      <c r="B39" s="58" t="s">
        <v>26</v>
      </c>
    </row>
    <row r="40" spans="2:2" x14ac:dyDescent="0.3">
      <c r="B40" s="58" t="s">
        <v>27</v>
      </c>
    </row>
    <row r="41" spans="2:2" x14ac:dyDescent="0.3">
      <c r="B41" s="58" t="s">
        <v>28</v>
      </c>
    </row>
    <row r="42" spans="2:2" x14ac:dyDescent="0.3">
      <c r="B42" s="58" t="s">
        <v>445</v>
      </c>
    </row>
    <row r="43" spans="2:2" x14ac:dyDescent="0.3">
      <c r="B43" s="58" t="s">
        <v>444</v>
      </c>
    </row>
    <row r="45" spans="2:2" x14ac:dyDescent="0.3">
      <c r="B45" s="37" t="s">
        <v>29</v>
      </c>
    </row>
    <row r="46" spans="2:2" x14ac:dyDescent="0.3">
      <c r="B46" s="58" t="s">
        <v>30</v>
      </c>
    </row>
    <row r="47" spans="2:2" x14ac:dyDescent="0.3">
      <c r="B47" s="58" t="s">
        <v>549</v>
      </c>
    </row>
  </sheetData>
  <hyperlinks>
    <hyperlink ref="B26" location="'P&amp;L'!A1" display="→ Profit &amp; Loss" xr:uid="{00000000-0004-0000-0000-000000000000}"/>
    <hyperlink ref="B27" location="'Balance Sheet'!A1" display="→ Balance Sheet" xr:uid="{00000000-0004-0000-0000-000001000000}"/>
    <hyperlink ref="B28" location="'AR Aging'!A1" display="→ AR Aging" xr:uid="{00000000-0004-0000-0000-000002000000}"/>
    <hyperlink ref="B29" location="'AP Aging'!A1" display="→ AP Aging" xr:uid="{00000000-0004-0000-0000-000003000000}"/>
    <hyperlink ref="B32" location="'Acorn Inc. Map 1 P&amp;L'!A1" display="→ Acorn Inc. Map 1 P&amp;L" xr:uid="{00000000-0004-0000-0000-000004000000}"/>
    <hyperlink ref="B33" location="'Acorn Inc. Map 1 BS'!A1" display="→ Acorn Inc. Map 1 BS" xr:uid="{00000000-0004-0000-0000-000005000000}"/>
    <hyperlink ref="B36" location="'Mapping Reference'!A1" display="→ Mapping Reference" xr:uid="{00000000-0004-0000-0000-000006000000}"/>
    <hyperlink ref="B39" location="'IS GL Summary'!A1" display="→ IS GL Summary" xr:uid="{00000000-0004-0000-0000-000007000000}"/>
    <hyperlink ref="B40" location="'BS GL Summary'!A1" display="→ BS GL Summary" xr:uid="{00000000-0004-0000-0000-000008000000}"/>
    <hyperlink ref="B41" location="'BS Balances'!A1" display="→ BS Balances" xr:uid="{00000000-0004-0000-0000-000009000000}"/>
    <hyperlink ref="B46" location="'GL Summary Validation'!A1" display="→ GL Summary Validation" xr:uid="{00000000-0004-0000-0000-00000A000000}"/>
    <hyperlink ref="B47" location="'Acorn Map 1 Validation'!A1" display="→ Acorn Map 1 Validation" xr:uid="{00000000-0004-0000-0000-00000B000000}"/>
    <hyperlink ref="B42" location="'IS GL Detail'!A1" display="→ IS GL Detail" xr:uid="{BFBB3681-E40E-4474-BF47-91D06979761B}"/>
    <hyperlink ref="B43" location="'BS GL Detail'!A1" display="→ BS GL Detail" xr:uid="{C7B2A534-1FA1-4F8E-801B-47A4B4EB286A}"/>
  </hyperlink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86"/>
  <sheetViews>
    <sheetView showGridLines="0" workbookViewId="0">
      <pane ySplit="5" topLeftCell="A6" activePane="bottomLeft" state="frozen"/>
      <selection pane="bottomLeft"/>
    </sheetView>
  </sheetViews>
  <sheetFormatPr defaultRowHeight="14.4" x14ac:dyDescent="0.3"/>
  <cols>
    <col min="1" max="1" width="0.6640625" customWidth="1"/>
    <col min="2" max="2" width="50" customWidth="1"/>
    <col min="3" max="17" width="14" customWidth="1"/>
  </cols>
  <sheetData>
    <row r="1" spans="1:17" x14ac:dyDescent="0.3">
      <c r="A1" s="1" t="s">
        <v>386</v>
      </c>
      <c r="B1" s="2"/>
      <c r="C1" s="2"/>
      <c r="D1" s="2"/>
      <c r="E1" s="2"/>
      <c r="F1" s="2"/>
      <c r="G1" s="2"/>
      <c r="H1" s="2"/>
      <c r="I1" s="2"/>
      <c r="J1" s="2"/>
      <c r="K1" s="2"/>
      <c r="L1" s="2"/>
      <c r="M1" s="2"/>
      <c r="N1" s="2"/>
      <c r="O1" s="2"/>
      <c r="P1" s="2"/>
      <c r="Q1" s="2"/>
    </row>
    <row r="2" spans="1:17" x14ac:dyDescent="0.3">
      <c r="A2" s="3" t="s">
        <v>135</v>
      </c>
      <c r="B2" s="2"/>
      <c r="C2" s="2"/>
      <c r="D2" s="2"/>
      <c r="E2" s="2"/>
      <c r="F2" s="2"/>
      <c r="G2" s="2"/>
      <c r="H2" s="2"/>
      <c r="I2" s="2"/>
      <c r="J2" s="2"/>
      <c r="K2" s="2"/>
      <c r="L2" s="2"/>
      <c r="M2" s="2"/>
      <c r="N2" s="2"/>
      <c r="O2" s="2"/>
      <c r="P2" s="2"/>
      <c r="Q2" s="2"/>
    </row>
    <row r="3" spans="1:17" x14ac:dyDescent="0.3">
      <c r="A3" s="2"/>
      <c r="B3" s="2"/>
      <c r="C3" s="2"/>
      <c r="D3" s="2"/>
      <c r="E3" s="2"/>
      <c r="F3" s="2"/>
      <c r="G3" s="2"/>
      <c r="H3" s="2"/>
      <c r="I3" s="2"/>
      <c r="J3" s="2"/>
      <c r="K3" s="2"/>
      <c r="L3" s="2"/>
      <c r="M3" s="2"/>
      <c r="N3" s="2"/>
      <c r="O3" s="2"/>
      <c r="P3" s="2"/>
      <c r="Q3" s="2"/>
    </row>
    <row r="4" spans="1:17" x14ac:dyDescent="0.3">
      <c r="A4" s="2"/>
      <c r="B4" s="2"/>
      <c r="C4" s="139">
        <v>45688</v>
      </c>
      <c r="D4" s="139">
        <f t="shared" ref="D4:Q4" si="0">EOMONTH(C4,1)</f>
        <v>45716</v>
      </c>
      <c r="E4" s="139">
        <f t="shared" si="0"/>
        <v>45747</v>
      </c>
      <c r="F4" s="139">
        <f t="shared" si="0"/>
        <v>45777</v>
      </c>
      <c r="G4" s="139">
        <f t="shared" si="0"/>
        <v>45808</v>
      </c>
      <c r="H4" s="139">
        <f t="shared" si="0"/>
        <v>45838</v>
      </c>
      <c r="I4" s="139">
        <f t="shared" si="0"/>
        <v>45869</v>
      </c>
      <c r="J4" s="139">
        <f t="shared" si="0"/>
        <v>45900</v>
      </c>
      <c r="K4" s="139">
        <f t="shared" si="0"/>
        <v>45930</v>
      </c>
      <c r="L4" s="139">
        <f t="shared" si="0"/>
        <v>45961</v>
      </c>
      <c r="M4" s="139">
        <f t="shared" si="0"/>
        <v>45991</v>
      </c>
      <c r="N4" s="139">
        <f t="shared" si="0"/>
        <v>46022</v>
      </c>
      <c r="O4" s="139">
        <f t="shared" si="0"/>
        <v>46053</v>
      </c>
      <c r="P4" s="139">
        <f t="shared" si="0"/>
        <v>46081</v>
      </c>
      <c r="Q4" s="139">
        <f t="shared" si="0"/>
        <v>46112</v>
      </c>
    </row>
    <row r="5" spans="1:17" x14ac:dyDescent="0.3">
      <c r="A5" s="2"/>
      <c r="B5" s="9" t="s">
        <v>32</v>
      </c>
      <c r="C5" s="208">
        <v>45658</v>
      </c>
      <c r="D5" s="208">
        <v>45689</v>
      </c>
      <c r="E5" s="208">
        <v>45717</v>
      </c>
      <c r="F5" s="208">
        <v>45748</v>
      </c>
      <c r="G5" s="208">
        <v>45778</v>
      </c>
      <c r="H5" s="208">
        <v>45809</v>
      </c>
      <c r="I5" s="208">
        <v>45839</v>
      </c>
      <c r="J5" s="208">
        <v>45870</v>
      </c>
      <c r="K5" s="208">
        <v>45901</v>
      </c>
      <c r="L5" s="208">
        <v>45931</v>
      </c>
      <c r="M5" s="208">
        <v>45962</v>
      </c>
      <c r="N5" s="208">
        <v>45992</v>
      </c>
      <c r="O5" s="208">
        <v>46023</v>
      </c>
      <c r="P5" s="208">
        <v>46054</v>
      </c>
      <c r="Q5" s="208">
        <v>46082</v>
      </c>
    </row>
    <row r="6" spans="1:17" x14ac:dyDescent="0.3">
      <c r="A6" s="2"/>
      <c r="B6" s="17" t="s">
        <v>136</v>
      </c>
      <c r="C6" s="18"/>
      <c r="D6" s="18"/>
      <c r="E6" s="18"/>
      <c r="F6" s="18"/>
      <c r="G6" s="18"/>
      <c r="H6" s="18"/>
      <c r="I6" s="18"/>
      <c r="J6" s="18"/>
      <c r="K6" s="18"/>
      <c r="L6" s="18"/>
      <c r="M6" s="18"/>
      <c r="N6" s="18"/>
      <c r="O6" s="18"/>
      <c r="P6" s="18"/>
      <c r="Q6" s="18"/>
    </row>
    <row r="7" spans="1:17" x14ac:dyDescent="0.3">
      <c r="A7" s="2"/>
      <c r="B7" s="11" t="s">
        <v>137</v>
      </c>
      <c r="C7" s="7">
        <v>0</v>
      </c>
      <c r="D7" s="7">
        <v>0</v>
      </c>
      <c r="E7" s="7">
        <v>0</v>
      </c>
      <c r="F7" s="7">
        <v>0</v>
      </c>
      <c r="G7" s="7">
        <v>0</v>
      </c>
      <c r="H7" s="7">
        <v>0</v>
      </c>
      <c r="I7" s="7">
        <v>0</v>
      </c>
      <c r="J7" s="7">
        <v>0</v>
      </c>
      <c r="K7" s="7">
        <v>0</v>
      </c>
      <c r="L7" s="7">
        <v>0</v>
      </c>
      <c r="M7" s="7">
        <v>0</v>
      </c>
      <c r="N7" s="7">
        <v>0</v>
      </c>
      <c r="O7" s="7">
        <v>0</v>
      </c>
      <c r="P7" s="7">
        <v>0</v>
      </c>
      <c r="Q7" s="7">
        <v>0</v>
      </c>
    </row>
    <row r="8" spans="1:17" x14ac:dyDescent="0.3">
      <c r="A8" s="2"/>
      <c r="B8" s="19" t="s">
        <v>138</v>
      </c>
      <c r="C8" s="7">
        <v>0</v>
      </c>
      <c r="D8" s="7">
        <v>0</v>
      </c>
      <c r="E8" s="7">
        <v>0</v>
      </c>
      <c r="F8" s="7">
        <v>0</v>
      </c>
      <c r="G8" s="7">
        <v>0</v>
      </c>
      <c r="H8" s="7">
        <v>0</v>
      </c>
      <c r="I8" s="7">
        <v>0</v>
      </c>
      <c r="J8" s="7">
        <v>0</v>
      </c>
      <c r="K8" s="7">
        <v>0</v>
      </c>
      <c r="L8" s="7">
        <v>0</v>
      </c>
      <c r="M8" s="7">
        <v>0</v>
      </c>
      <c r="N8" s="7">
        <v>0</v>
      </c>
      <c r="O8" s="7">
        <v>0</v>
      </c>
      <c r="P8" s="7">
        <v>0</v>
      </c>
      <c r="Q8" s="7">
        <v>0</v>
      </c>
    </row>
    <row r="9" spans="1:17" x14ac:dyDescent="0.3">
      <c r="A9" s="2"/>
      <c r="B9" s="24" t="s">
        <v>553</v>
      </c>
      <c r="C9" s="7">
        <v>214402.09</v>
      </c>
      <c r="D9" s="7">
        <v>180936.3</v>
      </c>
      <c r="E9" s="7">
        <v>568678.65</v>
      </c>
      <c r="F9" s="7">
        <v>567241.86</v>
      </c>
      <c r="G9" s="7">
        <v>584143.94999999995</v>
      </c>
      <c r="H9" s="7">
        <v>580291.4</v>
      </c>
      <c r="I9" s="7">
        <v>447562.5</v>
      </c>
      <c r="J9" s="7">
        <v>382154.95</v>
      </c>
      <c r="K9" s="7">
        <v>296921.28999999998</v>
      </c>
      <c r="L9" s="7">
        <v>326997.83</v>
      </c>
      <c r="M9" s="7">
        <v>257069.16</v>
      </c>
      <c r="N9" s="7">
        <v>274475.78999999998</v>
      </c>
      <c r="O9" s="7">
        <v>214008.54</v>
      </c>
      <c r="P9" s="7">
        <v>191196.36</v>
      </c>
      <c r="Q9" s="7">
        <v>137582.79999999999</v>
      </c>
    </row>
    <row r="10" spans="1:17" x14ac:dyDescent="0.3">
      <c r="A10" s="2"/>
      <c r="B10" s="24" t="s">
        <v>554</v>
      </c>
      <c r="C10" s="7">
        <v>10000</v>
      </c>
      <c r="D10" s="7">
        <v>10000</v>
      </c>
      <c r="E10" s="7">
        <v>10000</v>
      </c>
      <c r="F10" s="7">
        <v>1870.81</v>
      </c>
      <c r="G10" s="7">
        <v>10000</v>
      </c>
      <c r="H10" s="7">
        <v>10000</v>
      </c>
      <c r="I10" s="7">
        <v>10000</v>
      </c>
      <c r="J10" s="7">
        <v>9985</v>
      </c>
      <c r="K10" s="7">
        <v>15000</v>
      </c>
      <c r="L10" s="7">
        <v>15000</v>
      </c>
      <c r="M10" s="7">
        <v>15000</v>
      </c>
      <c r="N10" s="7">
        <v>15000</v>
      </c>
      <c r="O10" s="7">
        <v>15000</v>
      </c>
      <c r="P10" s="7">
        <v>15000</v>
      </c>
      <c r="Q10" s="7">
        <v>15000</v>
      </c>
    </row>
    <row r="11" spans="1:17" x14ac:dyDescent="0.3">
      <c r="A11" s="2"/>
      <c r="B11" s="25" t="s">
        <v>139</v>
      </c>
      <c r="C11" s="14">
        <v>224402.09</v>
      </c>
      <c r="D11" s="14">
        <v>190936.3</v>
      </c>
      <c r="E11" s="14">
        <v>578678.65</v>
      </c>
      <c r="F11" s="14">
        <v>569112.67000000004</v>
      </c>
      <c r="G11" s="14">
        <v>594143.94999999995</v>
      </c>
      <c r="H11" s="14">
        <v>590291.4</v>
      </c>
      <c r="I11" s="14">
        <v>457562.5</v>
      </c>
      <c r="J11" s="14">
        <v>392139.95</v>
      </c>
      <c r="K11" s="14">
        <v>311921.28999999998</v>
      </c>
      <c r="L11" s="14">
        <v>341997.83</v>
      </c>
      <c r="M11" s="14">
        <v>272069.15999999997</v>
      </c>
      <c r="N11" s="14">
        <v>289475.78999999998</v>
      </c>
      <c r="O11" s="14">
        <v>229008.54</v>
      </c>
      <c r="P11" s="14">
        <v>206196.36</v>
      </c>
      <c r="Q11" s="14">
        <v>152582.79999999999</v>
      </c>
    </row>
    <row r="12" spans="1:17" x14ac:dyDescent="0.3">
      <c r="A12" s="2"/>
      <c r="B12" s="19" t="s">
        <v>140</v>
      </c>
      <c r="C12" s="7">
        <v>0</v>
      </c>
      <c r="D12" s="7">
        <v>0</v>
      </c>
      <c r="E12" s="7">
        <v>0</v>
      </c>
      <c r="F12" s="7">
        <v>0</v>
      </c>
      <c r="G12" s="7">
        <v>0</v>
      </c>
      <c r="H12" s="7">
        <v>0</v>
      </c>
      <c r="I12" s="7">
        <v>0</v>
      </c>
      <c r="J12" s="7">
        <v>0</v>
      </c>
      <c r="K12" s="7">
        <v>0</v>
      </c>
      <c r="L12" s="7">
        <v>0</v>
      </c>
      <c r="M12" s="7">
        <v>0</v>
      </c>
      <c r="N12" s="7">
        <v>0</v>
      </c>
      <c r="O12" s="7">
        <v>0</v>
      </c>
      <c r="P12" s="7">
        <v>0</v>
      </c>
      <c r="Q12" s="7">
        <v>0</v>
      </c>
    </row>
    <row r="13" spans="1:17" x14ac:dyDescent="0.3">
      <c r="A13" s="2"/>
      <c r="B13" s="24" t="s">
        <v>141</v>
      </c>
      <c r="C13" s="7">
        <v>149976.18</v>
      </c>
      <c r="D13" s="7">
        <v>233095.72</v>
      </c>
      <c r="E13" s="7">
        <v>214696.01</v>
      </c>
      <c r="F13" s="7">
        <v>258499.37</v>
      </c>
      <c r="G13" s="7">
        <v>196693.72</v>
      </c>
      <c r="H13" s="7">
        <v>197765.81</v>
      </c>
      <c r="I13" s="7">
        <v>47574.23</v>
      </c>
      <c r="J13" s="7">
        <v>41996.89</v>
      </c>
      <c r="K13" s="7">
        <v>190800.43</v>
      </c>
      <c r="L13" s="7">
        <v>109437.97</v>
      </c>
      <c r="M13" s="7">
        <v>210328.93</v>
      </c>
      <c r="N13" s="7">
        <v>98795.38</v>
      </c>
      <c r="O13" s="7">
        <v>126274.13</v>
      </c>
      <c r="P13" s="7">
        <v>107461.88</v>
      </c>
      <c r="Q13" s="7">
        <v>110018.95</v>
      </c>
    </row>
    <row r="14" spans="1:17" x14ac:dyDescent="0.3">
      <c r="A14" s="2"/>
      <c r="B14" s="25" t="s">
        <v>142</v>
      </c>
      <c r="C14" s="14">
        <v>149976.18</v>
      </c>
      <c r="D14" s="14">
        <v>233095.72</v>
      </c>
      <c r="E14" s="14">
        <v>214696.01</v>
      </c>
      <c r="F14" s="14">
        <v>258499.37</v>
      </c>
      <c r="G14" s="14">
        <v>196693.72</v>
      </c>
      <c r="H14" s="14">
        <v>197765.81</v>
      </c>
      <c r="I14" s="14">
        <v>47574.23</v>
      </c>
      <c r="J14" s="14">
        <v>41996.89</v>
      </c>
      <c r="K14" s="14">
        <v>190800.43</v>
      </c>
      <c r="L14" s="14">
        <v>109437.97</v>
      </c>
      <c r="M14" s="14">
        <v>210328.93</v>
      </c>
      <c r="N14" s="14">
        <v>98795.38</v>
      </c>
      <c r="O14" s="14">
        <v>126274.13</v>
      </c>
      <c r="P14" s="14">
        <v>107461.88</v>
      </c>
      <c r="Q14" s="14">
        <v>110018.95</v>
      </c>
    </row>
    <row r="15" spans="1:17" x14ac:dyDescent="0.3">
      <c r="A15" s="2"/>
      <c r="B15" s="19" t="s">
        <v>143</v>
      </c>
      <c r="C15" s="7">
        <v>0</v>
      </c>
      <c r="D15" s="7">
        <v>0</v>
      </c>
      <c r="E15" s="7">
        <v>0</v>
      </c>
      <c r="F15" s="7">
        <v>0</v>
      </c>
      <c r="G15" s="7">
        <v>0</v>
      </c>
      <c r="H15" s="7">
        <v>0</v>
      </c>
      <c r="I15" s="7">
        <v>0</v>
      </c>
      <c r="J15" s="7">
        <v>0</v>
      </c>
      <c r="K15" s="7">
        <v>0</v>
      </c>
      <c r="L15" s="7">
        <v>0</v>
      </c>
      <c r="M15" s="7">
        <v>0</v>
      </c>
      <c r="N15" s="7">
        <v>0</v>
      </c>
      <c r="O15" s="7">
        <v>0</v>
      </c>
      <c r="P15" s="7">
        <v>0</v>
      </c>
      <c r="Q15" s="7">
        <v>0</v>
      </c>
    </row>
    <row r="16" spans="1:17" x14ac:dyDescent="0.3">
      <c r="A16" s="2"/>
      <c r="B16" s="24" t="s">
        <v>144</v>
      </c>
      <c r="C16" s="7">
        <v>0</v>
      </c>
      <c r="D16" s="7">
        <v>0</v>
      </c>
      <c r="E16" s="7">
        <v>0</v>
      </c>
      <c r="F16" s="7">
        <v>0</v>
      </c>
      <c r="G16" s="7">
        <v>0</v>
      </c>
      <c r="H16" s="7">
        <v>0</v>
      </c>
      <c r="I16" s="7">
        <v>0</v>
      </c>
      <c r="J16" s="7">
        <v>0</v>
      </c>
      <c r="K16" s="7">
        <v>0</v>
      </c>
      <c r="L16" s="7">
        <v>519.15</v>
      </c>
      <c r="M16" s="7">
        <v>519.15</v>
      </c>
      <c r="N16" s="7">
        <v>519.15</v>
      </c>
      <c r="O16" s="7">
        <v>494.15</v>
      </c>
      <c r="P16" s="7">
        <v>469.15</v>
      </c>
      <c r="Q16" s="7">
        <v>444.15</v>
      </c>
    </row>
    <row r="17" spans="1:17" x14ac:dyDescent="0.3">
      <c r="A17" s="2"/>
      <c r="B17" s="24" t="s">
        <v>145</v>
      </c>
      <c r="C17" s="7">
        <v>0</v>
      </c>
      <c r="D17" s="7">
        <v>0</v>
      </c>
      <c r="E17" s="7">
        <v>0</v>
      </c>
      <c r="F17" s="7">
        <v>0</v>
      </c>
      <c r="G17" s="7">
        <v>0</v>
      </c>
      <c r="H17" s="7">
        <v>0</v>
      </c>
      <c r="I17" s="7">
        <v>0</v>
      </c>
      <c r="J17" s="7">
        <v>0</v>
      </c>
      <c r="K17" s="7">
        <v>0</v>
      </c>
      <c r="L17" s="7">
        <v>0</v>
      </c>
      <c r="M17" s="7">
        <v>0</v>
      </c>
      <c r="N17" s="7">
        <v>0</v>
      </c>
      <c r="O17" s="7">
        <v>74.92</v>
      </c>
      <c r="P17" s="7">
        <v>74.92</v>
      </c>
      <c r="Q17" s="7">
        <v>103.26</v>
      </c>
    </row>
    <row r="18" spans="1:17" x14ac:dyDescent="0.3">
      <c r="A18" s="2"/>
      <c r="B18" s="24" t="s">
        <v>146</v>
      </c>
      <c r="C18" s="7">
        <v>0</v>
      </c>
      <c r="D18" s="7">
        <v>0</v>
      </c>
      <c r="E18" s="7">
        <v>0</v>
      </c>
      <c r="F18" s="7">
        <v>0</v>
      </c>
      <c r="G18" s="7">
        <v>0</v>
      </c>
      <c r="H18" s="7">
        <v>0</v>
      </c>
      <c r="I18" s="7">
        <v>0</v>
      </c>
      <c r="J18" s="7">
        <v>0</v>
      </c>
      <c r="K18" s="7">
        <v>0</v>
      </c>
      <c r="L18" s="7">
        <v>0</v>
      </c>
      <c r="M18" s="7">
        <v>0</v>
      </c>
      <c r="N18" s="7">
        <v>0</v>
      </c>
      <c r="O18" s="7">
        <v>0</v>
      </c>
      <c r="P18" s="7">
        <v>0</v>
      </c>
      <c r="Q18" s="7">
        <v>0</v>
      </c>
    </row>
    <row r="19" spans="1:17" x14ac:dyDescent="0.3">
      <c r="A19" s="2"/>
      <c r="B19" s="26" t="s">
        <v>147</v>
      </c>
      <c r="C19" s="7">
        <v>0</v>
      </c>
      <c r="D19" s="7">
        <v>0</v>
      </c>
      <c r="E19" s="7">
        <v>0</v>
      </c>
      <c r="F19" s="7">
        <v>0</v>
      </c>
      <c r="G19" s="7">
        <v>0</v>
      </c>
      <c r="H19" s="7">
        <v>0</v>
      </c>
      <c r="I19" s="7">
        <v>0</v>
      </c>
      <c r="J19" s="7">
        <v>0</v>
      </c>
      <c r="K19" s="7">
        <v>0</v>
      </c>
      <c r="L19" s="7">
        <v>0</v>
      </c>
      <c r="M19" s="7">
        <v>0</v>
      </c>
      <c r="N19" s="7">
        <v>8563.26</v>
      </c>
      <c r="O19" s="7">
        <v>10810.44</v>
      </c>
      <c r="P19" s="7">
        <v>9827.67</v>
      </c>
      <c r="Q19" s="7">
        <v>14711.67</v>
      </c>
    </row>
    <row r="20" spans="1:17" x14ac:dyDescent="0.3">
      <c r="A20" s="2"/>
      <c r="B20" s="26" t="s">
        <v>562</v>
      </c>
      <c r="C20" s="7">
        <v>-100</v>
      </c>
      <c r="D20" s="7">
        <v>-150</v>
      </c>
      <c r="E20" s="7">
        <v>950</v>
      </c>
      <c r="F20" s="7">
        <v>-2600</v>
      </c>
      <c r="G20" s="7">
        <v>380</v>
      </c>
      <c r="H20" s="7">
        <v>-360</v>
      </c>
      <c r="I20" s="7">
        <v>-660</v>
      </c>
      <c r="J20" s="7">
        <v>3220</v>
      </c>
      <c r="K20" s="7">
        <v>2760</v>
      </c>
      <c r="L20" s="7">
        <v>8640</v>
      </c>
      <c r="M20" s="7">
        <v>8120</v>
      </c>
      <c r="N20" s="7">
        <v>6059.36</v>
      </c>
      <c r="O20" s="7">
        <v>6041.86</v>
      </c>
      <c r="P20" s="7">
        <v>9724.36</v>
      </c>
      <c r="Q20" s="7">
        <v>9718.11</v>
      </c>
    </row>
    <row r="21" spans="1:17" x14ac:dyDescent="0.3">
      <c r="A21" s="2"/>
      <c r="B21" s="26" t="s">
        <v>148</v>
      </c>
      <c r="C21" s="7">
        <v>0</v>
      </c>
      <c r="D21" s="7">
        <v>0</v>
      </c>
      <c r="E21" s="7">
        <v>0</v>
      </c>
      <c r="F21" s="7">
        <v>0</v>
      </c>
      <c r="G21" s="7">
        <v>0</v>
      </c>
      <c r="H21" s="7">
        <v>0</v>
      </c>
      <c r="I21" s="7">
        <v>0</v>
      </c>
      <c r="J21" s="7">
        <v>0</v>
      </c>
      <c r="K21" s="7">
        <v>0</v>
      </c>
      <c r="L21" s="7">
        <v>0</v>
      </c>
      <c r="M21" s="7">
        <v>0</v>
      </c>
      <c r="N21" s="7">
        <v>0</v>
      </c>
      <c r="O21" s="7">
        <v>0</v>
      </c>
      <c r="P21" s="7">
        <v>0</v>
      </c>
      <c r="Q21" s="7">
        <v>-197.5</v>
      </c>
    </row>
    <row r="22" spans="1:17" x14ac:dyDescent="0.3">
      <c r="A22" s="2"/>
      <c r="B22" s="27" t="s">
        <v>149</v>
      </c>
      <c r="C22" s="14">
        <v>-100</v>
      </c>
      <c r="D22" s="14">
        <v>-150</v>
      </c>
      <c r="E22" s="14">
        <v>950</v>
      </c>
      <c r="F22" s="14">
        <v>-2600</v>
      </c>
      <c r="G22" s="14">
        <v>380</v>
      </c>
      <c r="H22" s="14">
        <v>-360</v>
      </c>
      <c r="I22" s="14">
        <v>-660</v>
      </c>
      <c r="J22" s="14">
        <v>3220</v>
      </c>
      <c r="K22" s="14">
        <v>2760</v>
      </c>
      <c r="L22" s="14">
        <v>8640</v>
      </c>
      <c r="M22" s="14">
        <v>8120</v>
      </c>
      <c r="N22" s="14">
        <v>14622.62</v>
      </c>
      <c r="O22" s="14">
        <v>16852.3</v>
      </c>
      <c r="P22" s="14">
        <v>19552.03</v>
      </c>
      <c r="Q22" s="14">
        <v>24232.28</v>
      </c>
    </row>
    <row r="23" spans="1:17" x14ac:dyDescent="0.3">
      <c r="A23" s="2"/>
      <c r="B23" s="24" t="s">
        <v>150</v>
      </c>
      <c r="C23" s="7">
        <v>0</v>
      </c>
      <c r="D23" s="7">
        <v>0</v>
      </c>
      <c r="E23" s="7">
        <v>0</v>
      </c>
      <c r="F23" s="7">
        <v>5600</v>
      </c>
      <c r="G23" s="7">
        <v>0</v>
      </c>
      <c r="H23" s="7">
        <v>0</v>
      </c>
      <c r="I23" s="7">
        <v>0</v>
      </c>
      <c r="J23" s="7">
        <v>0</v>
      </c>
      <c r="K23" s="7">
        <v>0</v>
      </c>
      <c r="L23" s="7">
        <v>0</v>
      </c>
      <c r="M23" s="7">
        <v>0</v>
      </c>
      <c r="N23" s="7">
        <v>0</v>
      </c>
      <c r="O23" s="7">
        <v>0</v>
      </c>
      <c r="P23" s="7">
        <v>0</v>
      </c>
      <c r="Q23" s="7">
        <v>0</v>
      </c>
    </row>
    <row r="24" spans="1:17" x14ac:dyDescent="0.3">
      <c r="A24" s="2"/>
      <c r="B24" s="24" t="s">
        <v>151</v>
      </c>
      <c r="C24" s="7">
        <v>0</v>
      </c>
      <c r="D24" s="7">
        <v>0</v>
      </c>
      <c r="E24" s="7">
        <v>0</v>
      </c>
      <c r="F24" s="7">
        <v>-6612</v>
      </c>
      <c r="G24" s="7">
        <v>0</v>
      </c>
      <c r="H24" s="7">
        <v>0</v>
      </c>
      <c r="I24" s="7">
        <v>0</v>
      </c>
      <c r="J24" s="7">
        <v>-2348.5</v>
      </c>
      <c r="K24" s="7">
        <v>0</v>
      </c>
      <c r="L24" s="7">
        <v>0</v>
      </c>
      <c r="M24" s="7">
        <v>0</v>
      </c>
      <c r="N24" s="7">
        <v>0</v>
      </c>
      <c r="O24" s="7">
        <v>0</v>
      </c>
      <c r="P24" s="7">
        <v>0</v>
      </c>
      <c r="Q24" s="7">
        <v>0</v>
      </c>
    </row>
    <row r="25" spans="1:17" x14ac:dyDescent="0.3">
      <c r="A25" s="2"/>
      <c r="B25" s="25" t="s">
        <v>152</v>
      </c>
      <c r="C25" s="14">
        <v>-100</v>
      </c>
      <c r="D25" s="14">
        <v>-150</v>
      </c>
      <c r="E25" s="14">
        <v>950</v>
      </c>
      <c r="F25" s="14">
        <v>-3612</v>
      </c>
      <c r="G25" s="14">
        <v>380</v>
      </c>
      <c r="H25" s="14">
        <v>-360</v>
      </c>
      <c r="I25" s="14">
        <v>-660</v>
      </c>
      <c r="J25" s="14">
        <v>871.5</v>
      </c>
      <c r="K25" s="14">
        <v>2760</v>
      </c>
      <c r="L25" s="14">
        <v>9159.15</v>
      </c>
      <c r="M25" s="14">
        <v>8639.15</v>
      </c>
      <c r="N25" s="14">
        <v>15141.77</v>
      </c>
      <c r="O25" s="14">
        <v>17421.37</v>
      </c>
      <c r="P25" s="14">
        <v>20096.099999999999</v>
      </c>
      <c r="Q25" s="14">
        <v>24779.69</v>
      </c>
    </row>
    <row r="26" spans="1:17" x14ac:dyDescent="0.3">
      <c r="A26" s="2"/>
      <c r="B26" s="20" t="s">
        <v>153</v>
      </c>
      <c r="C26" s="14">
        <v>374278.27</v>
      </c>
      <c r="D26" s="14">
        <v>423882.02</v>
      </c>
      <c r="E26" s="14">
        <v>794324.66</v>
      </c>
      <c r="F26" s="14">
        <v>824000.04</v>
      </c>
      <c r="G26" s="14">
        <v>791217.67</v>
      </c>
      <c r="H26" s="14">
        <v>787697.21</v>
      </c>
      <c r="I26" s="14">
        <v>504476.73</v>
      </c>
      <c r="J26" s="14">
        <v>435008.34</v>
      </c>
      <c r="K26" s="14">
        <v>505481.72</v>
      </c>
      <c r="L26" s="14">
        <v>460594.95</v>
      </c>
      <c r="M26" s="14">
        <v>491037.24</v>
      </c>
      <c r="N26" s="14">
        <v>403412.94</v>
      </c>
      <c r="O26" s="14">
        <v>372704.04</v>
      </c>
      <c r="P26" s="14">
        <v>333754.34000000003</v>
      </c>
      <c r="Q26" s="14">
        <v>287381.44</v>
      </c>
    </row>
    <row r="27" spans="1:17" x14ac:dyDescent="0.3">
      <c r="A27" s="2"/>
      <c r="B27" s="11" t="s">
        <v>154</v>
      </c>
      <c r="C27" s="7">
        <v>0</v>
      </c>
      <c r="D27" s="7">
        <v>0</v>
      </c>
      <c r="E27" s="7">
        <v>0</v>
      </c>
      <c r="F27" s="7">
        <v>0</v>
      </c>
      <c r="G27" s="7">
        <v>0</v>
      </c>
      <c r="H27" s="7">
        <v>0</v>
      </c>
      <c r="I27" s="7">
        <v>0</v>
      </c>
      <c r="J27" s="7">
        <v>0</v>
      </c>
      <c r="K27" s="7">
        <v>0</v>
      </c>
      <c r="L27" s="7">
        <v>0</v>
      </c>
      <c r="M27" s="7">
        <v>0</v>
      </c>
      <c r="N27" s="7">
        <v>0</v>
      </c>
      <c r="O27" s="7">
        <v>0</v>
      </c>
      <c r="P27" s="7">
        <v>0</v>
      </c>
      <c r="Q27" s="7">
        <v>0</v>
      </c>
    </row>
    <row r="28" spans="1:17" x14ac:dyDescent="0.3">
      <c r="A28" s="2"/>
      <c r="B28" s="19" t="s">
        <v>155</v>
      </c>
      <c r="C28" s="7">
        <v>0</v>
      </c>
      <c r="D28" s="7">
        <v>0</v>
      </c>
      <c r="E28" s="7">
        <v>0</v>
      </c>
      <c r="F28" s="7">
        <v>0</v>
      </c>
      <c r="G28" s="7">
        <v>0</v>
      </c>
      <c r="H28" s="7">
        <v>0</v>
      </c>
      <c r="I28" s="7">
        <v>0</v>
      </c>
      <c r="J28" s="7">
        <v>0</v>
      </c>
      <c r="K28" s="7">
        <v>0</v>
      </c>
      <c r="L28" s="7">
        <v>0</v>
      </c>
      <c r="M28" s="7">
        <v>0</v>
      </c>
      <c r="N28" s="7">
        <v>0</v>
      </c>
      <c r="O28" s="7">
        <v>0</v>
      </c>
      <c r="P28" s="7">
        <v>0</v>
      </c>
      <c r="Q28" s="7">
        <v>0</v>
      </c>
    </row>
    <row r="29" spans="1:17" x14ac:dyDescent="0.3">
      <c r="A29" s="2"/>
      <c r="B29" s="24" t="s">
        <v>542</v>
      </c>
      <c r="C29" s="7">
        <v>100000</v>
      </c>
      <c r="D29" s="7">
        <v>100000</v>
      </c>
      <c r="E29" s="7">
        <v>100000</v>
      </c>
      <c r="F29" s="7">
        <v>100000</v>
      </c>
      <c r="G29" s="7">
        <v>100000</v>
      </c>
      <c r="H29" s="7">
        <v>100000</v>
      </c>
      <c r="I29" s="7">
        <v>100000</v>
      </c>
      <c r="J29" s="7">
        <v>100000</v>
      </c>
      <c r="K29" s="7">
        <v>100000</v>
      </c>
      <c r="L29" s="7">
        <v>100000</v>
      </c>
      <c r="M29" s="7">
        <v>100000</v>
      </c>
      <c r="N29" s="7">
        <v>100000</v>
      </c>
      <c r="O29" s="7">
        <v>100000</v>
      </c>
      <c r="P29" s="7">
        <v>100000</v>
      </c>
      <c r="Q29" s="7">
        <v>100000</v>
      </c>
    </row>
    <row r="30" spans="1:17" x14ac:dyDescent="0.3">
      <c r="A30" s="2"/>
      <c r="B30" s="25" t="s">
        <v>156</v>
      </c>
      <c r="C30" s="14">
        <v>100000</v>
      </c>
      <c r="D30" s="14">
        <v>100000</v>
      </c>
      <c r="E30" s="14">
        <v>100000</v>
      </c>
      <c r="F30" s="14">
        <v>100000</v>
      </c>
      <c r="G30" s="14">
        <v>100000</v>
      </c>
      <c r="H30" s="14">
        <v>100000</v>
      </c>
      <c r="I30" s="14">
        <v>100000</v>
      </c>
      <c r="J30" s="14">
        <v>100000</v>
      </c>
      <c r="K30" s="14">
        <v>100000</v>
      </c>
      <c r="L30" s="14">
        <v>100000</v>
      </c>
      <c r="M30" s="14">
        <v>100000</v>
      </c>
      <c r="N30" s="14">
        <v>100000</v>
      </c>
      <c r="O30" s="14">
        <v>100000</v>
      </c>
      <c r="P30" s="14">
        <v>100000</v>
      </c>
      <c r="Q30" s="14">
        <v>100000</v>
      </c>
    </row>
    <row r="31" spans="1:17" x14ac:dyDescent="0.3">
      <c r="A31" s="2"/>
      <c r="B31" s="20" t="s">
        <v>157</v>
      </c>
      <c r="C31" s="14">
        <v>100000</v>
      </c>
      <c r="D31" s="14">
        <v>100000</v>
      </c>
      <c r="E31" s="14">
        <v>100000</v>
      </c>
      <c r="F31" s="14">
        <v>100000</v>
      </c>
      <c r="G31" s="14">
        <v>100000</v>
      </c>
      <c r="H31" s="14">
        <v>100000</v>
      </c>
      <c r="I31" s="14">
        <v>100000</v>
      </c>
      <c r="J31" s="14">
        <v>100000</v>
      </c>
      <c r="K31" s="14">
        <v>100000</v>
      </c>
      <c r="L31" s="14">
        <v>100000</v>
      </c>
      <c r="M31" s="14">
        <v>100000</v>
      </c>
      <c r="N31" s="14">
        <v>100000</v>
      </c>
      <c r="O31" s="14">
        <v>100000</v>
      </c>
      <c r="P31" s="14">
        <v>100000</v>
      </c>
      <c r="Q31" s="14">
        <v>100000</v>
      </c>
    </row>
    <row r="32" spans="1:17" x14ac:dyDescent="0.3">
      <c r="A32" s="2"/>
      <c r="B32" s="13" t="s">
        <v>158</v>
      </c>
      <c r="C32" s="14">
        <v>474278.27</v>
      </c>
      <c r="D32" s="14">
        <v>523882.02</v>
      </c>
      <c r="E32" s="14">
        <v>894324.66</v>
      </c>
      <c r="F32" s="14">
        <v>924000.04</v>
      </c>
      <c r="G32" s="14">
        <v>891217.67</v>
      </c>
      <c r="H32" s="14">
        <v>887697.21</v>
      </c>
      <c r="I32" s="14">
        <v>604476.73</v>
      </c>
      <c r="J32" s="14">
        <v>535008.34</v>
      </c>
      <c r="K32" s="14">
        <v>605481.72</v>
      </c>
      <c r="L32" s="14">
        <v>560594.94999999995</v>
      </c>
      <c r="M32" s="14">
        <v>591037.24</v>
      </c>
      <c r="N32" s="14">
        <v>503412.94</v>
      </c>
      <c r="O32" s="14">
        <v>472704.04</v>
      </c>
      <c r="P32" s="14">
        <v>433754.34</v>
      </c>
      <c r="Q32" s="14">
        <v>387381.44</v>
      </c>
    </row>
    <row r="33" spans="1:17" x14ac:dyDescent="0.3">
      <c r="A33" s="2"/>
      <c r="B33" s="17" t="s">
        <v>159</v>
      </c>
      <c r="C33" s="18"/>
      <c r="D33" s="18"/>
      <c r="E33" s="18"/>
      <c r="F33" s="18"/>
      <c r="G33" s="18"/>
      <c r="H33" s="18"/>
      <c r="I33" s="18"/>
      <c r="J33" s="18"/>
      <c r="K33" s="18"/>
      <c r="L33" s="18"/>
      <c r="M33" s="18"/>
      <c r="N33" s="18"/>
      <c r="O33" s="18"/>
      <c r="P33" s="18"/>
      <c r="Q33" s="18"/>
    </row>
    <row r="34" spans="1:17" x14ac:dyDescent="0.3">
      <c r="A34" s="2"/>
      <c r="B34" s="11" t="s">
        <v>160</v>
      </c>
      <c r="C34" s="7">
        <v>0</v>
      </c>
      <c r="D34" s="7">
        <v>0</v>
      </c>
      <c r="E34" s="7">
        <v>0</v>
      </c>
      <c r="F34" s="7">
        <v>0</v>
      </c>
      <c r="G34" s="7">
        <v>0</v>
      </c>
      <c r="H34" s="7">
        <v>0</v>
      </c>
      <c r="I34" s="7">
        <v>0</v>
      </c>
      <c r="J34" s="7">
        <v>0</v>
      </c>
      <c r="K34" s="7">
        <v>0</v>
      </c>
      <c r="L34" s="7">
        <v>0</v>
      </c>
      <c r="M34" s="7">
        <v>0</v>
      </c>
      <c r="N34" s="7">
        <v>0</v>
      </c>
      <c r="O34" s="7">
        <v>0</v>
      </c>
      <c r="P34" s="7">
        <v>0</v>
      </c>
      <c r="Q34" s="7">
        <v>0</v>
      </c>
    </row>
    <row r="35" spans="1:17" x14ac:dyDescent="0.3">
      <c r="A35" s="2"/>
      <c r="B35" s="19" t="s">
        <v>161</v>
      </c>
      <c r="C35" s="7">
        <v>0</v>
      </c>
      <c r="D35" s="7">
        <v>0</v>
      </c>
      <c r="E35" s="7">
        <v>0</v>
      </c>
      <c r="F35" s="7">
        <v>0</v>
      </c>
      <c r="G35" s="7">
        <v>0</v>
      </c>
      <c r="H35" s="7">
        <v>0</v>
      </c>
      <c r="I35" s="7">
        <v>0</v>
      </c>
      <c r="J35" s="7">
        <v>0</v>
      </c>
      <c r="K35" s="7">
        <v>0</v>
      </c>
      <c r="L35" s="7">
        <v>0</v>
      </c>
      <c r="M35" s="7">
        <v>0</v>
      </c>
      <c r="N35" s="7">
        <v>0</v>
      </c>
      <c r="O35" s="7">
        <v>0</v>
      </c>
      <c r="P35" s="7">
        <v>0</v>
      </c>
      <c r="Q35" s="7">
        <v>0</v>
      </c>
    </row>
    <row r="36" spans="1:17" x14ac:dyDescent="0.3">
      <c r="A36" s="2"/>
      <c r="B36" s="24" t="s">
        <v>162</v>
      </c>
      <c r="C36" s="7">
        <v>0</v>
      </c>
      <c r="D36" s="7">
        <v>0</v>
      </c>
      <c r="E36" s="7">
        <v>0</v>
      </c>
      <c r="F36" s="7">
        <v>0</v>
      </c>
      <c r="G36" s="7">
        <v>0</v>
      </c>
      <c r="H36" s="7">
        <v>0</v>
      </c>
      <c r="I36" s="7">
        <v>0</v>
      </c>
      <c r="J36" s="7">
        <v>0</v>
      </c>
      <c r="K36" s="7">
        <v>0</v>
      </c>
      <c r="L36" s="7">
        <v>0</v>
      </c>
      <c r="M36" s="7">
        <v>0</v>
      </c>
      <c r="N36" s="7">
        <v>0</v>
      </c>
      <c r="O36" s="7">
        <v>0</v>
      </c>
      <c r="P36" s="7">
        <v>0</v>
      </c>
      <c r="Q36" s="7">
        <v>0</v>
      </c>
    </row>
    <row r="37" spans="1:17" x14ac:dyDescent="0.3">
      <c r="A37" s="2"/>
      <c r="B37" s="26" t="s">
        <v>163</v>
      </c>
      <c r="C37" s="7">
        <v>7897.89</v>
      </c>
      <c r="D37" s="7">
        <v>15705</v>
      </c>
      <c r="E37" s="7">
        <v>9195.32</v>
      </c>
      <c r="F37" s="7">
        <v>48032.92</v>
      </c>
      <c r="G37" s="7">
        <v>6171.16</v>
      </c>
      <c r="H37" s="7">
        <v>7768.92</v>
      </c>
      <c r="I37" s="7">
        <v>38440</v>
      </c>
      <c r="J37" s="7">
        <v>750</v>
      </c>
      <c r="K37" s="7">
        <v>2034.34</v>
      </c>
      <c r="L37" s="7">
        <v>6622.31</v>
      </c>
      <c r="M37" s="7">
        <v>7000.75</v>
      </c>
      <c r="N37" s="7">
        <v>4294.1899999999996</v>
      </c>
      <c r="O37" s="7">
        <v>15414.19</v>
      </c>
      <c r="P37" s="7">
        <v>18626.28</v>
      </c>
      <c r="Q37" s="7">
        <v>6405.24</v>
      </c>
    </row>
    <row r="38" spans="1:17" x14ac:dyDescent="0.3">
      <c r="A38" s="2"/>
      <c r="B38" s="27" t="s">
        <v>164</v>
      </c>
      <c r="C38" s="14">
        <v>7897.89</v>
      </c>
      <c r="D38" s="14">
        <v>15705</v>
      </c>
      <c r="E38" s="14">
        <v>9195.32</v>
      </c>
      <c r="F38" s="14">
        <v>48032.92</v>
      </c>
      <c r="G38" s="14">
        <v>6171.16</v>
      </c>
      <c r="H38" s="14">
        <v>7768.92</v>
      </c>
      <c r="I38" s="14">
        <v>38440</v>
      </c>
      <c r="J38" s="14">
        <v>750</v>
      </c>
      <c r="K38" s="14">
        <v>2034.34</v>
      </c>
      <c r="L38" s="14">
        <v>6622.31</v>
      </c>
      <c r="M38" s="14">
        <v>7000.75</v>
      </c>
      <c r="N38" s="14">
        <v>4294.1899999999996</v>
      </c>
      <c r="O38" s="14">
        <v>15414.19</v>
      </c>
      <c r="P38" s="14">
        <v>18626.28</v>
      </c>
      <c r="Q38" s="14">
        <v>6405.24</v>
      </c>
    </row>
    <row r="39" spans="1:17" x14ac:dyDescent="0.3">
      <c r="A39" s="2"/>
      <c r="B39" s="24" t="s">
        <v>165</v>
      </c>
      <c r="C39" s="7">
        <v>0</v>
      </c>
      <c r="D39" s="7">
        <v>0</v>
      </c>
      <c r="E39" s="7">
        <v>0</v>
      </c>
      <c r="F39" s="7">
        <v>0</v>
      </c>
      <c r="G39" s="7">
        <v>0</v>
      </c>
      <c r="H39" s="7">
        <v>0</v>
      </c>
      <c r="I39" s="7">
        <v>0</v>
      </c>
      <c r="J39" s="7">
        <v>0</v>
      </c>
      <c r="K39" s="7">
        <v>0</v>
      </c>
      <c r="L39" s="7">
        <v>0</v>
      </c>
      <c r="M39" s="7">
        <v>0</v>
      </c>
      <c r="N39" s="7">
        <v>0</v>
      </c>
      <c r="O39" s="7">
        <v>0</v>
      </c>
      <c r="P39" s="7">
        <v>0</v>
      </c>
      <c r="Q39" s="7">
        <v>0</v>
      </c>
    </row>
    <row r="40" spans="1:17" x14ac:dyDescent="0.3">
      <c r="A40" s="2"/>
      <c r="B40" s="26" t="s">
        <v>545</v>
      </c>
      <c r="C40" s="7">
        <v>5097.04</v>
      </c>
      <c r="D40" s="7">
        <v>5923.26</v>
      </c>
      <c r="E40" s="7">
        <v>6163.33</v>
      </c>
      <c r="F40" s="7">
        <v>6269.45</v>
      </c>
      <c r="G40" s="7">
        <v>10584.68</v>
      </c>
      <c r="H40" s="7">
        <v>17398.240000000002</v>
      </c>
      <c r="I40" s="7">
        <v>6652.33</v>
      </c>
      <c r="J40" s="7">
        <v>8161.01</v>
      </c>
      <c r="K40" s="7">
        <v>4897.67</v>
      </c>
      <c r="L40" s="7">
        <v>9665.1200000000008</v>
      </c>
      <c r="M40" s="7">
        <v>7834.22</v>
      </c>
      <c r="N40" s="7">
        <v>3749.42</v>
      </c>
      <c r="O40" s="7">
        <v>4618.08</v>
      </c>
      <c r="P40" s="7">
        <v>5471.05</v>
      </c>
      <c r="Q40" s="7">
        <v>10854.45</v>
      </c>
    </row>
    <row r="41" spans="1:17" x14ac:dyDescent="0.3">
      <c r="A41" s="2"/>
      <c r="B41" s="26" t="s">
        <v>546</v>
      </c>
      <c r="C41" s="7">
        <v>1131.44</v>
      </c>
      <c r="D41" s="7">
        <v>0</v>
      </c>
      <c r="E41" s="7">
        <v>0</v>
      </c>
      <c r="F41" s="7">
        <v>0</v>
      </c>
      <c r="G41" s="7">
        <v>0</v>
      </c>
      <c r="H41" s="7">
        <v>0</v>
      </c>
      <c r="I41" s="7">
        <v>150</v>
      </c>
      <c r="J41" s="7">
        <v>0</v>
      </c>
      <c r="K41" s="7">
        <v>0</v>
      </c>
      <c r="L41" s="7">
        <v>0</v>
      </c>
      <c r="M41" s="7">
        <v>0</v>
      </c>
      <c r="N41" s="7">
        <v>0</v>
      </c>
      <c r="O41" s="7">
        <v>0</v>
      </c>
      <c r="P41" s="7">
        <v>0</v>
      </c>
      <c r="Q41" s="7">
        <v>0</v>
      </c>
    </row>
    <row r="42" spans="1:17" x14ac:dyDescent="0.3">
      <c r="A42" s="2"/>
      <c r="B42" s="26" t="s">
        <v>547</v>
      </c>
      <c r="C42" s="7">
        <v>131.12</v>
      </c>
      <c r="D42" s="7">
        <v>847.55</v>
      </c>
      <c r="E42" s="7">
        <v>952.63</v>
      </c>
      <c r="F42" s="7">
        <v>525.55999999999995</v>
      </c>
      <c r="G42" s="7">
        <v>676.76</v>
      </c>
      <c r="H42" s="7">
        <v>866.47</v>
      </c>
      <c r="I42" s="7">
        <v>3315.03</v>
      </c>
      <c r="J42" s="7">
        <v>3201.52</v>
      </c>
      <c r="K42" s="7">
        <v>1181.01</v>
      </c>
      <c r="L42" s="7">
        <v>417.74</v>
      </c>
      <c r="M42" s="7">
        <v>95</v>
      </c>
      <c r="N42" s="7">
        <v>546.17999999999995</v>
      </c>
      <c r="O42" s="7">
        <v>336.74</v>
      </c>
      <c r="P42" s="7">
        <v>1446.69</v>
      </c>
      <c r="Q42" s="7">
        <v>2331.8200000000002</v>
      </c>
    </row>
    <row r="43" spans="1:17" x14ac:dyDescent="0.3">
      <c r="A43" s="2"/>
      <c r="B43" s="27" t="s">
        <v>166</v>
      </c>
      <c r="C43" s="14">
        <v>6359.6</v>
      </c>
      <c r="D43" s="14">
        <v>6770.81</v>
      </c>
      <c r="E43" s="14">
        <v>7115.96</v>
      </c>
      <c r="F43" s="14">
        <v>6795.01</v>
      </c>
      <c r="G43" s="14">
        <v>11261.44</v>
      </c>
      <c r="H43" s="14">
        <v>18264.71</v>
      </c>
      <c r="I43" s="14">
        <v>10117.36</v>
      </c>
      <c r="J43" s="14">
        <v>11362.53</v>
      </c>
      <c r="K43" s="14">
        <v>6078.68</v>
      </c>
      <c r="L43" s="14">
        <v>10082.86</v>
      </c>
      <c r="M43" s="14">
        <v>7929.22</v>
      </c>
      <c r="N43" s="14">
        <v>4295.6000000000004</v>
      </c>
      <c r="O43" s="14">
        <v>4954.82</v>
      </c>
      <c r="P43" s="14">
        <v>6917.74</v>
      </c>
      <c r="Q43" s="14">
        <v>13186.27</v>
      </c>
    </row>
    <row r="44" spans="1:17" x14ac:dyDescent="0.3">
      <c r="A44" s="2"/>
      <c r="B44" s="24" t="s">
        <v>167</v>
      </c>
      <c r="C44" s="7">
        <v>0</v>
      </c>
      <c r="D44" s="7">
        <v>0</v>
      </c>
      <c r="E44" s="7">
        <v>0</v>
      </c>
      <c r="F44" s="7">
        <v>0</v>
      </c>
      <c r="G44" s="7">
        <v>0</v>
      </c>
      <c r="H44" s="7">
        <v>0</v>
      </c>
      <c r="I44" s="7">
        <v>0</v>
      </c>
      <c r="J44" s="7">
        <v>0</v>
      </c>
      <c r="K44" s="7">
        <v>0</v>
      </c>
      <c r="L44" s="7">
        <v>0</v>
      </c>
      <c r="M44" s="7">
        <v>0</v>
      </c>
      <c r="N44" s="7">
        <v>0</v>
      </c>
      <c r="O44" s="7">
        <v>0</v>
      </c>
      <c r="P44" s="7">
        <v>0</v>
      </c>
      <c r="Q44" s="7">
        <v>0</v>
      </c>
    </row>
    <row r="45" spans="1:17" x14ac:dyDescent="0.3">
      <c r="A45" s="2"/>
      <c r="B45" s="26" t="s">
        <v>168</v>
      </c>
      <c r="C45" s="7">
        <v>0</v>
      </c>
      <c r="D45" s="7">
        <v>0</v>
      </c>
      <c r="E45" s="7">
        <v>0</v>
      </c>
      <c r="F45" s="7">
        <v>0</v>
      </c>
      <c r="G45" s="7">
        <v>0</v>
      </c>
      <c r="H45" s="7">
        <v>0</v>
      </c>
      <c r="I45" s="7">
        <v>0</v>
      </c>
      <c r="J45" s="7">
        <v>0</v>
      </c>
      <c r="K45" s="7">
        <v>0</v>
      </c>
      <c r="L45" s="7">
        <v>0</v>
      </c>
      <c r="M45" s="7">
        <v>0</v>
      </c>
      <c r="N45" s="7">
        <v>0</v>
      </c>
      <c r="O45" s="7">
        <v>12336.92</v>
      </c>
      <c r="P45" s="7">
        <v>8452.7999999999993</v>
      </c>
      <c r="Q45" s="7">
        <v>9063.2900000000009</v>
      </c>
    </row>
    <row r="46" spans="1:17" x14ac:dyDescent="0.3">
      <c r="A46" s="2"/>
      <c r="B46" s="28" t="s">
        <v>169</v>
      </c>
      <c r="C46" s="7">
        <v>0</v>
      </c>
      <c r="D46" s="7">
        <v>0</v>
      </c>
      <c r="E46" s="7">
        <v>0</v>
      </c>
      <c r="F46" s="7">
        <v>0</v>
      </c>
      <c r="G46" s="7">
        <v>0</v>
      </c>
      <c r="H46" s="7">
        <v>0</v>
      </c>
      <c r="I46" s="7">
        <v>0</v>
      </c>
      <c r="J46" s="7">
        <v>0</v>
      </c>
      <c r="K46" s="7">
        <v>0</v>
      </c>
      <c r="L46" s="7">
        <v>0</v>
      </c>
      <c r="M46" s="7">
        <v>0</v>
      </c>
      <c r="N46" s="7">
        <v>0</v>
      </c>
      <c r="O46" s="7">
        <v>16520</v>
      </c>
      <c r="P46" s="7">
        <v>17437.03</v>
      </c>
      <c r="Q46" s="7">
        <v>25047.97</v>
      </c>
    </row>
    <row r="47" spans="1:17" x14ac:dyDescent="0.3">
      <c r="A47" s="2"/>
      <c r="B47" s="28" t="s">
        <v>170</v>
      </c>
      <c r="C47" s="7">
        <v>0</v>
      </c>
      <c r="D47" s="7">
        <v>0</v>
      </c>
      <c r="E47" s="7">
        <v>0</v>
      </c>
      <c r="F47" s="7">
        <v>0</v>
      </c>
      <c r="G47" s="7">
        <v>0</v>
      </c>
      <c r="H47" s="7">
        <v>0</v>
      </c>
      <c r="I47" s="7">
        <v>0</v>
      </c>
      <c r="J47" s="7">
        <v>0</v>
      </c>
      <c r="K47" s="7">
        <v>0</v>
      </c>
      <c r="L47" s="7">
        <v>0</v>
      </c>
      <c r="M47" s="7">
        <v>0</v>
      </c>
      <c r="N47" s="7">
        <v>0</v>
      </c>
      <c r="O47" s="7">
        <v>1851.1</v>
      </c>
      <c r="P47" s="7">
        <v>1851.11</v>
      </c>
      <c r="Q47" s="7">
        <v>2644.43</v>
      </c>
    </row>
    <row r="48" spans="1:17" x14ac:dyDescent="0.3">
      <c r="A48" s="2"/>
      <c r="B48" s="28" t="s">
        <v>171</v>
      </c>
      <c r="C48" s="7">
        <v>0</v>
      </c>
      <c r="D48" s="7">
        <v>0</v>
      </c>
      <c r="E48" s="7">
        <v>0</v>
      </c>
      <c r="F48" s="7">
        <v>0</v>
      </c>
      <c r="G48" s="7">
        <v>0</v>
      </c>
      <c r="H48" s="7">
        <v>0</v>
      </c>
      <c r="I48" s="7">
        <v>0</v>
      </c>
      <c r="J48" s="7">
        <v>0</v>
      </c>
      <c r="K48" s="7">
        <v>0</v>
      </c>
      <c r="L48" s="7">
        <v>0</v>
      </c>
      <c r="M48" s="7">
        <v>0</v>
      </c>
      <c r="N48" s="7">
        <v>0</v>
      </c>
      <c r="O48" s="7">
        <v>967.38</v>
      </c>
      <c r="P48" s="7">
        <v>994.69</v>
      </c>
      <c r="Q48" s="7">
        <v>1428.13</v>
      </c>
    </row>
    <row r="49" spans="1:17" x14ac:dyDescent="0.3">
      <c r="A49" s="2"/>
      <c r="B49" s="29" t="s">
        <v>172</v>
      </c>
      <c r="C49" s="14">
        <v>0</v>
      </c>
      <c r="D49" s="14">
        <v>0</v>
      </c>
      <c r="E49" s="14">
        <v>0</v>
      </c>
      <c r="F49" s="14">
        <v>0</v>
      </c>
      <c r="G49" s="14">
        <v>0</v>
      </c>
      <c r="H49" s="14">
        <v>0</v>
      </c>
      <c r="I49" s="14">
        <v>0</v>
      </c>
      <c r="J49" s="14">
        <v>0</v>
      </c>
      <c r="K49" s="14">
        <v>0</v>
      </c>
      <c r="L49" s="14">
        <v>0</v>
      </c>
      <c r="M49" s="14">
        <v>0</v>
      </c>
      <c r="N49" s="14">
        <v>0</v>
      </c>
      <c r="O49" s="14">
        <v>31675.4</v>
      </c>
      <c r="P49" s="14">
        <v>28735.63</v>
      </c>
      <c r="Q49" s="14">
        <v>38183.82</v>
      </c>
    </row>
    <row r="50" spans="1:17" x14ac:dyDescent="0.3">
      <c r="A50" s="2"/>
      <c r="B50" s="26" t="s">
        <v>173</v>
      </c>
      <c r="C50" s="7">
        <v>25130.63</v>
      </c>
      <c r="D50" s="7">
        <v>25130.63</v>
      </c>
      <c r="E50" s="7">
        <v>319999</v>
      </c>
      <c r="F50" s="7">
        <v>308049.3</v>
      </c>
      <c r="G50" s="7">
        <v>286361.25</v>
      </c>
      <c r="H50" s="7">
        <v>275286.95</v>
      </c>
      <c r="I50" s="7">
        <v>237664.56</v>
      </c>
      <c r="J50" s="7">
        <v>192408.77</v>
      </c>
      <c r="K50" s="7">
        <v>197099.25</v>
      </c>
      <c r="L50" s="7">
        <v>146274.07</v>
      </c>
      <c r="M50" s="7">
        <v>91957.39</v>
      </c>
      <c r="N50" s="7">
        <v>39434.959999999999</v>
      </c>
      <c r="O50" s="7">
        <v>-10555.5</v>
      </c>
      <c r="P50" s="7">
        <v>-68719.210000000006</v>
      </c>
      <c r="Q50" s="7">
        <v>-116474.02</v>
      </c>
    </row>
    <row r="51" spans="1:17" x14ac:dyDescent="0.3">
      <c r="A51" s="2"/>
      <c r="B51" s="26" t="s">
        <v>174</v>
      </c>
      <c r="C51" s="7">
        <v>22000</v>
      </c>
      <c r="D51" s="7">
        <v>31750</v>
      </c>
      <c r="E51" s="7">
        <v>44875</v>
      </c>
      <c r="F51" s="7">
        <v>43250</v>
      </c>
      <c r="G51" s="7">
        <v>44250</v>
      </c>
      <c r="H51" s="7">
        <v>5500</v>
      </c>
      <c r="I51" s="7">
        <v>6500</v>
      </c>
      <c r="J51" s="7">
        <v>7750</v>
      </c>
      <c r="K51" s="7">
        <v>8500</v>
      </c>
      <c r="L51" s="7">
        <v>7875</v>
      </c>
      <c r="M51" s="7">
        <v>7250</v>
      </c>
      <c r="N51" s="7">
        <v>1000</v>
      </c>
      <c r="O51" s="7">
        <v>250</v>
      </c>
      <c r="P51" s="7">
        <v>0</v>
      </c>
      <c r="Q51" s="7">
        <v>2375</v>
      </c>
    </row>
    <row r="52" spans="1:17" x14ac:dyDescent="0.3">
      <c r="A52" s="2"/>
      <c r="B52" s="27" t="s">
        <v>175</v>
      </c>
      <c r="C52" s="14">
        <v>47130.63</v>
      </c>
      <c r="D52" s="14">
        <v>56880.63</v>
      </c>
      <c r="E52" s="14">
        <v>364874</v>
      </c>
      <c r="F52" s="14">
        <v>351299.3</v>
      </c>
      <c r="G52" s="14">
        <v>330611.25</v>
      </c>
      <c r="H52" s="14">
        <v>280786.95</v>
      </c>
      <c r="I52" s="14">
        <v>244164.56</v>
      </c>
      <c r="J52" s="14">
        <v>200158.77</v>
      </c>
      <c r="K52" s="14">
        <v>205599.25</v>
      </c>
      <c r="L52" s="14">
        <v>154149.07</v>
      </c>
      <c r="M52" s="14">
        <v>99207.39</v>
      </c>
      <c r="N52" s="14">
        <v>40434.959999999999</v>
      </c>
      <c r="O52" s="14">
        <v>21369.9</v>
      </c>
      <c r="P52" s="14">
        <v>-39983.58</v>
      </c>
      <c r="Q52" s="14">
        <v>-75915.199999999997</v>
      </c>
    </row>
    <row r="53" spans="1:17" x14ac:dyDescent="0.3">
      <c r="A53" s="2"/>
      <c r="B53" s="25" t="s">
        <v>176</v>
      </c>
      <c r="C53" s="14">
        <v>61388.12</v>
      </c>
      <c r="D53" s="14">
        <v>79356.44</v>
      </c>
      <c r="E53" s="14">
        <v>381185.28000000003</v>
      </c>
      <c r="F53" s="14">
        <v>406127.23</v>
      </c>
      <c r="G53" s="14">
        <v>348043.85</v>
      </c>
      <c r="H53" s="14">
        <v>306820.58</v>
      </c>
      <c r="I53" s="14">
        <v>292721.91999999998</v>
      </c>
      <c r="J53" s="14">
        <v>212271.3</v>
      </c>
      <c r="K53" s="14">
        <v>213712.27</v>
      </c>
      <c r="L53" s="14">
        <v>170854.24</v>
      </c>
      <c r="M53" s="14">
        <v>114137.36</v>
      </c>
      <c r="N53" s="14">
        <v>49024.75</v>
      </c>
      <c r="O53" s="14">
        <v>41738.910000000003</v>
      </c>
      <c r="P53" s="14">
        <v>-14439.56</v>
      </c>
      <c r="Q53" s="14">
        <v>-56323.69</v>
      </c>
    </row>
    <row r="54" spans="1:17" x14ac:dyDescent="0.3">
      <c r="A54" s="2"/>
      <c r="B54" s="19" t="s">
        <v>177</v>
      </c>
      <c r="C54" s="7">
        <v>0</v>
      </c>
      <c r="D54" s="7">
        <v>0</v>
      </c>
      <c r="E54" s="7">
        <v>0</v>
      </c>
      <c r="F54" s="7">
        <v>0</v>
      </c>
      <c r="G54" s="7">
        <v>0</v>
      </c>
      <c r="H54" s="7">
        <v>0</v>
      </c>
      <c r="I54" s="7">
        <v>0</v>
      </c>
      <c r="J54" s="7">
        <v>0</v>
      </c>
      <c r="K54" s="7">
        <v>0</v>
      </c>
      <c r="L54" s="7">
        <v>0</v>
      </c>
      <c r="M54" s="7">
        <v>0</v>
      </c>
      <c r="N54" s="7">
        <v>0</v>
      </c>
      <c r="O54" s="7">
        <v>0</v>
      </c>
      <c r="P54" s="7">
        <v>0</v>
      </c>
      <c r="Q54" s="7">
        <v>0</v>
      </c>
    </row>
    <row r="55" spans="1:17" x14ac:dyDescent="0.3">
      <c r="A55" s="2"/>
      <c r="B55" s="24" t="s">
        <v>178</v>
      </c>
      <c r="C55" s="7">
        <v>90000</v>
      </c>
      <c r="D55" s="7">
        <v>90000</v>
      </c>
      <c r="E55" s="7">
        <v>90000</v>
      </c>
      <c r="F55" s="7">
        <v>90000</v>
      </c>
      <c r="G55" s="7">
        <v>90000</v>
      </c>
      <c r="H55" s="7">
        <v>90000</v>
      </c>
      <c r="I55" s="7">
        <v>90000</v>
      </c>
      <c r="J55" s="7">
        <v>90000</v>
      </c>
      <c r="K55" s="7">
        <v>90000</v>
      </c>
      <c r="L55" s="7">
        <v>90000</v>
      </c>
      <c r="M55" s="7">
        <v>90000</v>
      </c>
      <c r="N55" s="7">
        <v>90000</v>
      </c>
      <c r="O55" s="7">
        <v>90000</v>
      </c>
      <c r="P55" s="7">
        <v>90000</v>
      </c>
      <c r="Q55" s="7">
        <v>90000</v>
      </c>
    </row>
    <row r="56" spans="1:17" x14ac:dyDescent="0.3">
      <c r="A56" s="2"/>
      <c r="B56" s="25" t="s">
        <v>179</v>
      </c>
      <c r="C56" s="14">
        <v>90000</v>
      </c>
      <c r="D56" s="14">
        <v>90000</v>
      </c>
      <c r="E56" s="14">
        <v>90000</v>
      </c>
      <c r="F56" s="14">
        <v>90000</v>
      </c>
      <c r="G56" s="14">
        <v>90000</v>
      </c>
      <c r="H56" s="14">
        <v>90000</v>
      </c>
      <c r="I56" s="14">
        <v>90000</v>
      </c>
      <c r="J56" s="14">
        <v>90000</v>
      </c>
      <c r="K56" s="14">
        <v>90000</v>
      </c>
      <c r="L56" s="14">
        <v>90000</v>
      </c>
      <c r="M56" s="14">
        <v>90000</v>
      </c>
      <c r="N56" s="14">
        <v>90000</v>
      </c>
      <c r="O56" s="14">
        <v>90000</v>
      </c>
      <c r="P56" s="14">
        <v>90000</v>
      </c>
      <c r="Q56" s="14">
        <v>90000</v>
      </c>
    </row>
    <row r="57" spans="1:17" x14ac:dyDescent="0.3">
      <c r="A57" s="2"/>
      <c r="B57" s="20" t="s">
        <v>14</v>
      </c>
      <c r="C57" s="14">
        <v>151388.12</v>
      </c>
      <c r="D57" s="14">
        <v>169356.44</v>
      </c>
      <c r="E57" s="14">
        <v>471185.28</v>
      </c>
      <c r="F57" s="14">
        <v>496127.23</v>
      </c>
      <c r="G57" s="14">
        <v>438043.85</v>
      </c>
      <c r="H57" s="14">
        <v>396820.58</v>
      </c>
      <c r="I57" s="14">
        <v>382721.92</v>
      </c>
      <c r="J57" s="14">
        <v>302271.3</v>
      </c>
      <c r="K57" s="14">
        <v>303712.27</v>
      </c>
      <c r="L57" s="14">
        <v>260854.24</v>
      </c>
      <c r="M57" s="14">
        <v>204137.36</v>
      </c>
      <c r="N57" s="14">
        <v>139024.75</v>
      </c>
      <c r="O57" s="14">
        <v>131738.91</v>
      </c>
      <c r="P57" s="14">
        <v>75560.44</v>
      </c>
      <c r="Q57" s="14">
        <v>33676.31</v>
      </c>
    </row>
    <row r="58" spans="1:17" x14ac:dyDescent="0.3">
      <c r="A58" s="2"/>
      <c r="B58" s="11" t="s">
        <v>180</v>
      </c>
      <c r="C58" s="7">
        <v>0</v>
      </c>
      <c r="D58" s="7">
        <v>0</v>
      </c>
      <c r="E58" s="7">
        <v>0</v>
      </c>
      <c r="F58" s="7">
        <v>0</v>
      </c>
      <c r="G58" s="7">
        <v>0</v>
      </c>
      <c r="H58" s="7">
        <v>0</v>
      </c>
      <c r="I58" s="7">
        <v>0</v>
      </c>
      <c r="J58" s="7">
        <v>0</v>
      </c>
      <c r="K58" s="7">
        <v>0</v>
      </c>
      <c r="L58" s="7">
        <v>0</v>
      </c>
      <c r="M58" s="7">
        <v>0</v>
      </c>
      <c r="N58" s="7">
        <v>0</v>
      </c>
      <c r="O58" s="7">
        <v>0</v>
      </c>
      <c r="P58" s="7">
        <v>0</v>
      </c>
      <c r="Q58" s="7">
        <v>0</v>
      </c>
    </row>
    <row r="59" spans="1:17" x14ac:dyDescent="0.3">
      <c r="A59" s="2"/>
      <c r="B59" s="19" t="s">
        <v>181</v>
      </c>
      <c r="C59" s="7">
        <v>0</v>
      </c>
      <c r="D59" s="7">
        <v>0</v>
      </c>
      <c r="E59" s="7">
        <v>0</v>
      </c>
      <c r="F59" s="7">
        <v>0</v>
      </c>
      <c r="G59" s="7">
        <v>0</v>
      </c>
      <c r="H59" s="7">
        <v>0</v>
      </c>
      <c r="I59" s="7">
        <v>0</v>
      </c>
      <c r="J59" s="7">
        <v>0</v>
      </c>
      <c r="K59" s="7">
        <v>0</v>
      </c>
      <c r="L59" s="7">
        <v>0</v>
      </c>
      <c r="M59" s="7">
        <v>0</v>
      </c>
      <c r="N59" s="7">
        <v>0</v>
      </c>
      <c r="O59" s="7">
        <v>0</v>
      </c>
      <c r="P59" s="7">
        <v>0</v>
      </c>
      <c r="Q59" s="7">
        <v>0</v>
      </c>
    </row>
    <row r="60" spans="1:17" x14ac:dyDescent="0.3">
      <c r="A60" s="2"/>
      <c r="B60" s="19" t="s">
        <v>563</v>
      </c>
      <c r="C60" s="7">
        <v>0</v>
      </c>
      <c r="D60" s="7">
        <v>0</v>
      </c>
      <c r="E60" s="7">
        <v>0</v>
      </c>
      <c r="F60" s="7">
        <v>0</v>
      </c>
      <c r="G60" s="7">
        <v>0</v>
      </c>
      <c r="H60" s="7">
        <v>0</v>
      </c>
      <c r="I60" s="7">
        <v>0</v>
      </c>
      <c r="J60" s="7">
        <v>0</v>
      </c>
      <c r="K60" s="7">
        <v>0</v>
      </c>
      <c r="L60" s="7">
        <v>0</v>
      </c>
      <c r="M60" s="7">
        <v>0</v>
      </c>
      <c r="N60" s="7">
        <v>0</v>
      </c>
      <c r="O60" s="7">
        <v>0</v>
      </c>
      <c r="P60" s="7">
        <v>0</v>
      </c>
      <c r="Q60" s="7">
        <v>0</v>
      </c>
    </row>
    <row r="61" spans="1:17" x14ac:dyDescent="0.3">
      <c r="A61" s="2"/>
      <c r="B61" s="24" t="s">
        <v>564</v>
      </c>
      <c r="C61" s="7">
        <v>-520.94000000000005</v>
      </c>
      <c r="D61" s="7">
        <v>-934.24</v>
      </c>
      <c r="E61" s="7">
        <v>-443.42</v>
      </c>
      <c r="F61" s="7">
        <v>-458.77</v>
      </c>
      <c r="G61" s="7">
        <v>-612.87</v>
      </c>
      <c r="H61" s="7">
        <v>-29.35</v>
      </c>
      <c r="I61" s="7">
        <v>-75288.39</v>
      </c>
      <c r="J61" s="7">
        <v>-75603.22</v>
      </c>
      <c r="K61" s="7">
        <v>-75706.92</v>
      </c>
      <c r="L61" s="7">
        <v>-75734.259999999995</v>
      </c>
      <c r="M61" s="7">
        <v>-77174.179999999993</v>
      </c>
      <c r="N61" s="7">
        <v>-75000</v>
      </c>
      <c r="O61" s="7">
        <v>-75000</v>
      </c>
      <c r="P61" s="7">
        <v>-75000</v>
      </c>
      <c r="Q61" s="7">
        <v>-75000</v>
      </c>
    </row>
    <row r="62" spans="1:17" x14ac:dyDescent="0.3">
      <c r="A62" s="2"/>
      <c r="B62" s="24" t="s">
        <v>182</v>
      </c>
      <c r="C62" s="7">
        <v>0</v>
      </c>
      <c r="D62" s="7">
        <v>0</v>
      </c>
      <c r="E62" s="7">
        <v>0</v>
      </c>
      <c r="F62" s="7">
        <v>0</v>
      </c>
      <c r="G62" s="7">
        <v>0</v>
      </c>
      <c r="H62" s="7">
        <v>0</v>
      </c>
      <c r="I62" s="7">
        <v>0</v>
      </c>
      <c r="J62" s="7">
        <v>0</v>
      </c>
      <c r="K62" s="7">
        <v>0</v>
      </c>
      <c r="L62" s="7">
        <v>0</v>
      </c>
      <c r="M62" s="7">
        <v>0</v>
      </c>
      <c r="N62" s="7">
        <v>0</v>
      </c>
      <c r="O62" s="7">
        <v>234465.82</v>
      </c>
      <c r="P62" s="7">
        <v>234465.82</v>
      </c>
      <c r="Q62" s="7">
        <v>234465.82</v>
      </c>
    </row>
    <row r="63" spans="1:17" x14ac:dyDescent="0.3">
      <c r="A63" s="2"/>
      <c r="B63" s="25" t="s">
        <v>565</v>
      </c>
      <c r="C63" s="14">
        <v>-520.94000000000005</v>
      </c>
      <c r="D63" s="14">
        <v>-934.24</v>
      </c>
      <c r="E63" s="14">
        <v>-443.42</v>
      </c>
      <c r="F63" s="14">
        <v>-458.77</v>
      </c>
      <c r="G63" s="14">
        <v>-612.87</v>
      </c>
      <c r="H63" s="14">
        <v>-29.35</v>
      </c>
      <c r="I63" s="14">
        <v>-75288.39</v>
      </c>
      <c r="J63" s="14">
        <v>-75603.22</v>
      </c>
      <c r="K63" s="14">
        <v>-75706.92</v>
      </c>
      <c r="L63" s="14">
        <v>-75734.259999999995</v>
      </c>
      <c r="M63" s="14">
        <v>-77174.179999999993</v>
      </c>
      <c r="N63" s="14">
        <v>-75000</v>
      </c>
      <c r="O63" s="14">
        <v>159465.82</v>
      </c>
      <c r="P63" s="14">
        <v>159465.82</v>
      </c>
      <c r="Q63" s="14">
        <v>159465.82</v>
      </c>
    </row>
    <row r="64" spans="1:17" x14ac:dyDescent="0.3">
      <c r="A64" s="2"/>
      <c r="B64" s="19" t="s">
        <v>566</v>
      </c>
      <c r="C64" s="7">
        <v>0</v>
      </c>
      <c r="D64" s="7">
        <v>0</v>
      </c>
      <c r="E64" s="7">
        <v>0</v>
      </c>
      <c r="F64" s="7">
        <v>0</v>
      </c>
      <c r="G64" s="7">
        <v>0</v>
      </c>
      <c r="H64" s="7">
        <v>0</v>
      </c>
      <c r="I64" s="7">
        <v>0</v>
      </c>
      <c r="J64" s="7">
        <v>0</v>
      </c>
      <c r="K64" s="7">
        <v>0</v>
      </c>
      <c r="L64" s="7">
        <v>0</v>
      </c>
      <c r="M64" s="7">
        <v>0</v>
      </c>
      <c r="N64" s="7">
        <v>0</v>
      </c>
      <c r="O64" s="7">
        <v>0</v>
      </c>
      <c r="P64" s="7">
        <v>0</v>
      </c>
      <c r="Q64" s="7">
        <v>0</v>
      </c>
    </row>
    <row r="65" spans="1:17" x14ac:dyDescent="0.3">
      <c r="A65" s="2"/>
      <c r="B65" s="24" t="s">
        <v>183</v>
      </c>
      <c r="C65" s="7">
        <v>0</v>
      </c>
      <c r="D65" s="7">
        <v>0</v>
      </c>
      <c r="E65" s="7">
        <v>0</v>
      </c>
      <c r="F65" s="7">
        <v>0</v>
      </c>
      <c r="G65" s="7">
        <v>0</v>
      </c>
      <c r="H65" s="7">
        <v>0</v>
      </c>
      <c r="I65" s="7">
        <v>-75000</v>
      </c>
      <c r="J65" s="7">
        <v>-75000</v>
      </c>
      <c r="K65" s="7">
        <v>-75000</v>
      </c>
      <c r="L65" s="7">
        <v>-75000</v>
      </c>
      <c r="M65" s="7">
        <v>-75000</v>
      </c>
      <c r="N65" s="7">
        <v>-75000</v>
      </c>
      <c r="O65" s="7">
        <v>-75000</v>
      </c>
      <c r="P65" s="7">
        <v>-75000</v>
      </c>
      <c r="Q65" s="7">
        <v>-75000</v>
      </c>
    </row>
    <row r="66" spans="1:17" x14ac:dyDescent="0.3">
      <c r="A66" s="2"/>
      <c r="B66" s="24" t="s">
        <v>184</v>
      </c>
      <c r="C66" s="7">
        <v>0</v>
      </c>
      <c r="D66" s="7">
        <v>0</v>
      </c>
      <c r="E66" s="7">
        <v>0</v>
      </c>
      <c r="F66" s="7">
        <v>0</v>
      </c>
      <c r="G66" s="7">
        <v>0</v>
      </c>
      <c r="H66" s="7">
        <v>0</v>
      </c>
      <c r="I66" s="7">
        <v>0</v>
      </c>
      <c r="J66" s="7">
        <v>0</v>
      </c>
      <c r="K66" s="7">
        <v>0</v>
      </c>
      <c r="L66" s="7">
        <v>0</v>
      </c>
      <c r="M66" s="7">
        <v>0</v>
      </c>
      <c r="N66" s="7">
        <v>0</v>
      </c>
      <c r="O66" s="7">
        <v>234465.81</v>
      </c>
      <c r="P66" s="7">
        <v>234465.81</v>
      </c>
      <c r="Q66" s="7">
        <v>234465.81</v>
      </c>
    </row>
    <row r="67" spans="1:17" x14ac:dyDescent="0.3">
      <c r="A67" s="2"/>
      <c r="B67" s="25" t="s">
        <v>567</v>
      </c>
      <c r="C67" s="14">
        <v>0</v>
      </c>
      <c r="D67" s="14">
        <v>0</v>
      </c>
      <c r="E67" s="14">
        <v>0</v>
      </c>
      <c r="F67" s="14">
        <v>0</v>
      </c>
      <c r="G67" s="14">
        <v>0</v>
      </c>
      <c r="H67" s="14">
        <v>0</v>
      </c>
      <c r="I67" s="14">
        <v>-75000</v>
      </c>
      <c r="J67" s="14">
        <v>-75000</v>
      </c>
      <c r="K67" s="14">
        <v>-75000</v>
      </c>
      <c r="L67" s="14">
        <v>-75000</v>
      </c>
      <c r="M67" s="14">
        <v>-75000</v>
      </c>
      <c r="N67" s="14">
        <v>-75000</v>
      </c>
      <c r="O67" s="14">
        <v>159465.81</v>
      </c>
      <c r="P67" s="14">
        <v>159465.81</v>
      </c>
      <c r="Q67" s="14">
        <v>159465.81</v>
      </c>
    </row>
    <row r="68" spans="1:17" x14ac:dyDescent="0.3">
      <c r="A68" s="2"/>
      <c r="B68" s="19" t="s">
        <v>185</v>
      </c>
      <c r="C68" s="7">
        <v>406280.27</v>
      </c>
      <c r="D68" s="7">
        <v>406280.27</v>
      </c>
      <c r="E68" s="7">
        <v>406280.27</v>
      </c>
      <c r="F68" s="7">
        <v>406280.27</v>
      </c>
      <c r="G68" s="7">
        <v>406280.27</v>
      </c>
      <c r="H68" s="7">
        <v>406280.27</v>
      </c>
      <c r="I68" s="7">
        <v>406280.27</v>
      </c>
      <c r="J68" s="7">
        <v>406280.27</v>
      </c>
      <c r="K68" s="7">
        <v>406280.27</v>
      </c>
      <c r="L68" s="7">
        <v>406280.27</v>
      </c>
      <c r="M68" s="7">
        <v>406280.27</v>
      </c>
      <c r="N68" s="7">
        <v>406280.27</v>
      </c>
      <c r="O68" s="7">
        <v>0</v>
      </c>
      <c r="P68" s="7">
        <v>0</v>
      </c>
      <c r="Q68" s="7">
        <v>0</v>
      </c>
    </row>
    <row r="69" spans="1:17" x14ac:dyDescent="0.3">
      <c r="A69" s="2"/>
      <c r="B69" s="19" t="s">
        <v>186</v>
      </c>
      <c r="C69" s="7">
        <v>0</v>
      </c>
      <c r="D69" s="7">
        <v>0</v>
      </c>
      <c r="E69" s="7">
        <v>0</v>
      </c>
      <c r="F69" s="7">
        <v>0</v>
      </c>
      <c r="G69" s="7">
        <v>0</v>
      </c>
      <c r="H69" s="7">
        <v>0</v>
      </c>
      <c r="I69" s="7">
        <v>0</v>
      </c>
      <c r="J69" s="7">
        <v>0</v>
      </c>
      <c r="K69" s="7">
        <v>0</v>
      </c>
      <c r="L69" s="7">
        <v>0</v>
      </c>
      <c r="M69" s="7">
        <v>0</v>
      </c>
      <c r="N69" s="7">
        <v>0</v>
      </c>
      <c r="O69" s="7">
        <v>0</v>
      </c>
      <c r="P69" s="7">
        <v>0</v>
      </c>
      <c r="Q69" s="7">
        <v>0</v>
      </c>
    </row>
    <row r="70" spans="1:17" x14ac:dyDescent="0.3">
      <c r="A70" s="2"/>
      <c r="B70" s="30" t="s">
        <v>12</v>
      </c>
      <c r="C70" s="16">
        <v>-82869.179999999993</v>
      </c>
      <c r="D70" s="16">
        <v>-50820.45</v>
      </c>
      <c r="E70" s="16">
        <v>17302.53</v>
      </c>
      <c r="F70" s="16">
        <v>22051.31</v>
      </c>
      <c r="G70" s="16">
        <v>47506.42</v>
      </c>
      <c r="H70" s="16">
        <v>84625.71</v>
      </c>
      <c r="I70" s="16">
        <v>-34237.07</v>
      </c>
      <c r="J70" s="16">
        <v>-22940.01</v>
      </c>
      <c r="K70" s="16">
        <v>46196.1</v>
      </c>
      <c r="L70" s="16">
        <v>44194.7</v>
      </c>
      <c r="M70" s="16">
        <v>132793.79</v>
      </c>
      <c r="N70" s="16">
        <v>108107.92</v>
      </c>
      <c r="O70" s="16">
        <v>22033.5</v>
      </c>
      <c r="P70" s="16">
        <v>39262.269999999997</v>
      </c>
      <c r="Q70" s="16">
        <v>34773.5</v>
      </c>
    </row>
    <row r="71" spans="1:17" x14ac:dyDescent="0.3">
      <c r="A71" s="2"/>
      <c r="B71" s="31" t="s">
        <v>15</v>
      </c>
      <c r="C71" s="16">
        <v>322890.15000000002</v>
      </c>
      <c r="D71" s="16">
        <v>354525.58</v>
      </c>
      <c r="E71" s="16">
        <v>423139.38</v>
      </c>
      <c r="F71" s="16">
        <v>427872.81</v>
      </c>
      <c r="G71" s="16">
        <v>453173.82</v>
      </c>
      <c r="H71" s="16">
        <v>490876.63</v>
      </c>
      <c r="I71" s="16">
        <v>221754.81</v>
      </c>
      <c r="J71" s="16">
        <v>232737.04</v>
      </c>
      <c r="K71" s="16">
        <v>301769.45</v>
      </c>
      <c r="L71" s="16">
        <v>299740.71000000002</v>
      </c>
      <c r="M71" s="16">
        <v>386899.88</v>
      </c>
      <c r="N71" s="16">
        <v>364388.19</v>
      </c>
      <c r="O71" s="16">
        <v>340965.13</v>
      </c>
      <c r="P71" s="16">
        <v>358193.9</v>
      </c>
      <c r="Q71" s="16">
        <v>353705.13</v>
      </c>
    </row>
    <row r="72" spans="1:17" x14ac:dyDescent="0.3">
      <c r="A72" s="2"/>
      <c r="B72" s="15" t="s">
        <v>187</v>
      </c>
      <c r="C72" s="16">
        <v>474278.27</v>
      </c>
      <c r="D72" s="16">
        <v>523882.02</v>
      </c>
      <c r="E72" s="16">
        <v>894324.66</v>
      </c>
      <c r="F72" s="16">
        <v>924000.04</v>
      </c>
      <c r="G72" s="16">
        <v>891217.67</v>
      </c>
      <c r="H72" s="16">
        <v>887697.21</v>
      </c>
      <c r="I72" s="16">
        <v>604476.73</v>
      </c>
      <c r="J72" s="16">
        <v>535008.34</v>
      </c>
      <c r="K72" s="16">
        <v>605481.72</v>
      </c>
      <c r="L72" s="16">
        <v>560594.94999999995</v>
      </c>
      <c r="M72" s="16">
        <v>591037.24</v>
      </c>
      <c r="N72" s="16">
        <v>503412.94</v>
      </c>
      <c r="O72" s="16">
        <v>472704.04</v>
      </c>
      <c r="P72" s="16">
        <v>433754.34</v>
      </c>
      <c r="Q72" s="16">
        <v>387381.44</v>
      </c>
    </row>
    <row r="73" spans="1:17" x14ac:dyDescent="0.3">
      <c r="A73" s="2"/>
      <c r="B73" s="2"/>
      <c r="C73" s="2"/>
      <c r="D73" s="2"/>
      <c r="E73" s="2"/>
      <c r="F73" s="2"/>
      <c r="G73" s="2"/>
      <c r="H73" s="2"/>
      <c r="I73" s="2"/>
      <c r="J73" s="2"/>
      <c r="K73" s="2"/>
      <c r="L73" s="2"/>
      <c r="M73" s="2"/>
      <c r="N73" s="2"/>
      <c r="O73" s="2"/>
      <c r="P73" s="2"/>
      <c r="Q73" s="2"/>
    </row>
    <row r="74" spans="1:17" x14ac:dyDescent="0.3">
      <c r="A74" s="2"/>
      <c r="B74" s="2"/>
      <c r="C74" s="2"/>
      <c r="D74" s="2"/>
      <c r="E74" s="2"/>
      <c r="F74" s="2"/>
      <c r="G74" s="2"/>
      <c r="H74" s="2"/>
      <c r="I74" s="2"/>
      <c r="J74" s="2"/>
      <c r="K74" s="2"/>
      <c r="L74" s="2"/>
      <c r="M74" s="2"/>
      <c r="N74" s="2"/>
      <c r="O74" s="2"/>
      <c r="P74" s="2"/>
      <c r="Q74" s="2"/>
    </row>
    <row r="75" spans="1:17" x14ac:dyDescent="0.3">
      <c r="A75" s="2"/>
      <c r="B75" s="1" t="s">
        <v>131</v>
      </c>
      <c r="C75" s="2"/>
      <c r="D75" s="2"/>
      <c r="E75" s="2"/>
      <c r="F75" s="2"/>
      <c r="G75" s="2"/>
      <c r="H75" s="2"/>
      <c r="I75" s="2"/>
      <c r="J75" s="2"/>
      <c r="K75" s="2"/>
      <c r="L75" s="2"/>
      <c r="M75" s="2"/>
      <c r="N75" s="2"/>
      <c r="O75" s="2"/>
      <c r="P75" s="2"/>
      <c r="Q75" s="2"/>
    </row>
    <row r="76" spans="1:17" x14ac:dyDescent="0.3">
      <c r="A76" s="2"/>
      <c r="B76" s="21" t="s">
        <v>188</v>
      </c>
      <c r="C76" s="22">
        <f t="shared" ref="C76:Q76" si="1">C32</f>
        <v>474278.27</v>
      </c>
      <c r="D76" s="22">
        <f t="shared" si="1"/>
        <v>523882.02</v>
      </c>
      <c r="E76" s="22">
        <f t="shared" si="1"/>
        <v>894324.66</v>
      </c>
      <c r="F76" s="22">
        <f t="shared" si="1"/>
        <v>924000.04</v>
      </c>
      <c r="G76" s="22">
        <f t="shared" si="1"/>
        <v>891217.67</v>
      </c>
      <c r="H76" s="22">
        <f t="shared" si="1"/>
        <v>887697.21</v>
      </c>
      <c r="I76" s="22">
        <f t="shared" si="1"/>
        <v>604476.73</v>
      </c>
      <c r="J76" s="22">
        <f t="shared" si="1"/>
        <v>535008.34</v>
      </c>
      <c r="K76" s="22">
        <f t="shared" si="1"/>
        <v>605481.72</v>
      </c>
      <c r="L76" s="22">
        <f t="shared" si="1"/>
        <v>560594.94999999995</v>
      </c>
      <c r="M76" s="22">
        <f t="shared" si="1"/>
        <v>591037.24</v>
      </c>
      <c r="N76" s="22">
        <f t="shared" si="1"/>
        <v>503412.94</v>
      </c>
      <c r="O76" s="22">
        <f t="shared" si="1"/>
        <v>472704.04</v>
      </c>
      <c r="P76" s="22">
        <f t="shared" si="1"/>
        <v>433754.34</v>
      </c>
      <c r="Q76" s="22">
        <f t="shared" si="1"/>
        <v>387381.44</v>
      </c>
    </row>
    <row r="77" spans="1:17" x14ac:dyDescent="0.3">
      <c r="A77" s="2"/>
      <c r="B77" s="23" t="s">
        <v>189</v>
      </c>
      <c r="C77" s="135">
        <f>SUMIFS('BS Balances'!G:G,'BS Balances'!F:F,DATE(2025,1,31),'BS Balances'!E:E,"Asset")</f>
        <v>474278.27</v>
      </c>
      <c r="D77" s="135">
        <f>SUMIFS('BS Balances'!G:G,'BS Balances'!F:F,DATE(2025,2,28),'BS Balances'!E:E,"Asset")</f>
        <v>523882.02</v>
      </c>
      <c r="E77" s="135">
        <f>SUMIFS('BS Balances'!G:G,'BS Balances'!F:F,DATE(2025,3,31),'BS Balances'!E:E,"Asset")</f>
        <v>894324.66</v>
      </c>
      <c r="F77" s="135">
        <f>SUMIFS('BS Balances'!G:G,'BS Balances'!F:F,DATE(2025,4,30),'BS Balances'!E:E,"Asset")</f>
        <v>924000.04</v>
      </c>
      <c r="G77" s="135">
        <f>SUMIFS('BS Balances'!G:G,'BS Balances'!F:F,DATE(2025,5,31),'BS Balances'!E:E,"Asset")</f>
        <v>891217.66999999993</v>
      </c>
      <c r="H77" s="135">
        <f>SUMIFS('BS Balances'!G:G,'BS Balances'!F:F,DATE(2025,6,30),'BS Balances'!E:E,"Asset")</f>
        <v>887697.21</v>
      </c>
      <c r="I77" s="135">
        <f>SUMIFS('BS Balances'!G:G,'BS Balances'!F:F,DATE(2025,7,31),'BS Balances'!E:E,"Asset")</f>
        <v>604476.73</v>
      </c>
      <c r="J77" s="135">
        <f>SUMIFS('BS Balances'!G:G,'BS Balances'!F:F,DATE(2025,8,31),'BS Balances'!E:E,"Asset")</f>
        <v>535008.34000000008</v>
      </c>
      <c r="K77" s="135">
        <f>SUMIFS('BS Balances'!G:G,'BS Balances'!F:F,DATE(2025,9,30),'BS Balances'!E:E,"Asset")</f>
        <v>605481.72</v>
      </c>
      <c r="L77" s="135">
        <f>SUMIFS('BS Balances'!G:G,'BS Balances'!F:F,DATE(2025,10,31),'BS Balances'!E:E,"Asset")</f>
        <v>560594.95000000007</v>
      </c>
      <c r="M77" s="135">
        <f>SUMIFS('BS Balances'!G:G,'BS Balances'!F:F,DATE(2025,11,30),'BS Balances'!E:E,"Asset")</f>
        <v>591037.24</v>
      </c>
      <c r="N77" s="135">
        <f>SUMIFS('BS Balances'!G:G,'BS Balances'!F:F,DATE(2025,12,31),'BS Balances'!E:E,"Asset")</f>
        <v>503412.94</v>
      </c>
      <c r="O77" s="135">
        <f>SUMIFS('BS Balances'!G:G,'BS Balances'!F:F,DATE(2026,1,31),'BS Balances'!E:E,"Asset")</f>
        <v>472704.04000000004</v>
      </c>
      <c r="P77" s="135">
        <f>SUMIFS('BS Balances'!G:G,'BS Balances'!F:F,DATE(2026,2,28),'BS Balances'!E:E,"Asset")</f>
        <v>433754.33999999997</v>
      </c>
      <c r="Q77" s="135">
        <f>SUMIFS('BS Balances'!G:G,'BS Balances'!F:F,DATE(2026,3,31),'BS Balances'!E:E,"Asset")</f>
        <v>387381.44</v>
      </c>
    </row>
    <row r="78" spans="1:17" x14ac:dyDescent="0.3">
      <c r="A78" s="2"/>
      <c r="B78" s="23" t="s">
        <v>190</v>
      </c>
      <c r="C78" s="22">
        <f t="shared" ref="C78:Q78" si="2">C76-C77</f>
        <v>0</v>
      </c>
      <c r="D78" s="22">
        <f t="shared" si="2"/>
        <v>0</v>
      </c>
      <c r="E78" s="22">
        <f t="shared" si="2"/>
        <v>0</v>
      </c>
      <c r="F78" s="22">
        <f t="shared" si="2"/>
        <v>0</v>
      </c>
      <c r="G78" s="22">
        <f t="shared" si="2"/>
        <v>0</v>
      </c>
      <c r="H78" s="22">
        <f t="shared" si="2"/>
        <v>0</v>
      </c>
      <c r="I78" s="22">
        <f t="shared" si="2"/>
        <v>0</v>
      </c>
      <c r="J78" s="22">
        <f t="shared" si="2"/>
        <v>0</v>
      </c>
      <c r="K78" s="22">
        <f t="shared" si="2"/>
        <v>0</v>
      </c>
      <c r="L78" s="22">
        <f t="shared" si="2"/>
        <v>0</v>
      </c>
      <c r="M78" s="22">
        <f t="shared" si="2"/>
        <v>0</v>
      </c>
      <c r="N78" s="22">
        <f t="shared" si="2"/>
        <v>0</v>
      </c>
      <c r="O78" s="22">
        <f t="shared" si="2"/>
        <v>0</v>
      </c>
      <c r="P78" s="22">
        <f t="shared" si="2"/>
        <v>0</v>
      </c>
      <c r="Q78" s="22">
        <f t="shared" si="2"/>
        <v>0</v>
      </c>
    </row>
    <row r="79" spans="1:17" x14ac:dyDescent="0.3">
      <c r="A79" s="2"/>
      <c r="B79" s="23"/>
      <c r="C79" s="32"/>
      <c r="D79" s="32"/>
      <c r="E79" s="32"/>
      <c r="F79" s="32"/>
      <c r="G79" s="32"/>
      <c r="H79" s="32"/>
      <c r="I79" s="32"/>
      <c r="J79" s="32"/>
      <c r="K79" s="32"/>
      <c r="L79" s="32"/>
      <c r="M79" s="32"/>
      <c r="N79" s="32"/>
      <c r="O79" s="32"/>
      <c r="P79" s="32"/>
      <c r="Q79" s="32"/>
    </row>
    <row r="80" spans="1:17" x14ac:dyDescent="0.3">
      <c r="A80" s="2"/>
      <c r="B80" s="23" t="s">
        <v>191</v>
      </c>
      <c r="C80" s="22">
        <f t="shared" ref="C80:Q80" si="3">C57</f>
        <v>151388.12</v>
      </c>
      <c r="D80" s="22">
        <f t="shared" si="3"/>
        <v>169356.44</v>
      </c>
      <c r="E80" s="22">
        <f t="shared" si="3"/>
        <v>471185.28</v>
      </c>
      <c r="F80" s="22">
        <f t="shared" si="3"/>
        <v>496127.23</v>
      </c>
      <c r="G80" s="22">
        <f t="shared" si="3"/>
        <v>438043.85</v>
      </c>
      <c r="H80" s="22">
        <f t="shared" si="3"/>
        <v>396820.58</v>
      </c>
      <c r="I80" s="22">
        <f t="shared" si="3"/>
        <v>382721.92</v>
      </c>
      <c r="J80" s="22">
        <f t="shared" si="3"/>
        <v>302271.3</v>
      </c>
      <c r="K80" s="22">
        <f t="shared" si="3"/>
        <v>303712.27</v>
      </c>
      <c r="L80" s="22">
        <f t="shared" si="3"/>
        <v>260854.24</v>
      </c>
      <c r="M80" s="22">
        <f t="shared" si="3"/>
        <v>204137.36</v>
      </c>
      <c r="N80" s="22">
        <f t="shared" si="3"/>
        <v>139024.75</v>
      </c>
      <c r="O80" s="22">
        <f t="shared" si="3"/>
        <v>131738.91</v>
      </c>
      <c r="P80" s="22">
        <f t="shared" si="3"/>
        <v>75560.44</v>
      </c>
      <c r="Q80" s="22">
        <f t="shared" si="3"/>
        <v>33676.31</v>
      </c>
    </row>
    <row r="81" spans="1:17" x14ac:dyDescent="0.3">
      <c r="A81" s="2"/>
      <c r="B81" s="23" t="s">
        <v>192</v>
      </c>
      <c r="C81" s="135">
        <f>SUMIFS('BS Balances'!G:G,'BS Balances'!F:F,DATE(2025,1,31),'BS Balances'!E:E,"Liability")</f>
        <v>151388.12</v>
      </c>
      <c r="D81" s="135">
        <f>SUMIFS('BS Balances'!G:G,'BS Balances'!F:F,DATE(2025,2,28),'BS Balances'!E:E,"Liability")</f>
        <v>169356.44</v>
      </c>
      <c r="E81" s="135">
        <f>SUMIFS('BS Balances'!G:G,'BS Balances'!F:F,DATE(2025,3,31),'BS Balances'!E:E,"Liability")</f>
        <v>471185.28</v>
      </c>
      <c r="F81" s="135">
        <f>SUMIFS('BS Balances'!G:G,'BS Balances'!F:F,DATE(2025,4,30),'BS Balances'!E:E,"Liability")</f>
        <v>496127.23</v>
      </c>
      <c r="G81" s="135">
        <f>SUMIFS('BS Balances'!G:G,'BS Balances'!F:F,DATE(2025,5,31),'BS Balances'!E:E,"Liability")</f>
        <v>438043.85</v>
      </c>
      <c r="H81" s="135">
        <f>SUMIFS('BS Balances'!G:G,'BS Balances'!F:F,DATE(2025,6,30),'BS Balances'!E:E,"Liability")</f>
        <v>396820.58</v>
      </c>
      <c r="I81" s="135">
        <f>SUMIFS('BS Balances'!G:G,'BS Balances'!F:F,DATE(2025,7,31),'BS Balances'!E:E,"Liability")</f>
        <v>382721.92</v>
      </c>
      <c r="J81" s="135">
        <f>SUMIFS('BS Balances'!G:G,'BS Balances'!F:F,DATE(2025,8,31),'BS Balances'!E:E,"Liability")</f>
        <v>302271.3</v>
      </c>
      <c r="K81" s="135">
        <f>SUMIFS('BS Balances'!G:G,'BS Balances'!F:F,DATE(2025,9,30),'BS Balances'!E:E,"Liability")</f>
        <v>303712.27</v>
      </c>
      <c r="L81" s="135">
        <f>SUMIFS('BS Balances'!G:G,'BS Balances'!F:F,DATE(2025,10,31),'BS Balances'!E:E,"Liability")</f>
        <v>260854.24000000002</v>
      </c>
      <c r="M81" s="135">
        <f>SUMIFS('BS Balances'!G:G,'BS Balances'!F:F,DATE(2025,11,30),'BS Balances'!E:E,"Liability")</f>
        <v>204137.36</v>
      </c>
      <c r="N81" s="135">
        <f>SUMIFS('BS Balances'!G:G,'BS Balances'!F:F,DATE(2025,12,31),'BS Balances'!E:E,"Liability")</f>
        <v>139024.75</v>
      </c>
      <c r="O81" s="135">
        <f>SUMIFS('BS Balances'!G:G,'BS Balances'!F:F,DATE(2026,1,31),'BS Balances'!E:E,"Liability")</f>
        <v>131738.91</v>
      </c>
      <c r="P81" s="135">
        <f>SUMIFS('BS Balances'!G:G,'BS Balances'!F:F,DATE(2026,2,28),'BS Balances'!E:E,"Liability")</f>
        <v>75560.439999999988</v>
      </c>
      <c r="Q81" s="135">
        <f>SUMIFS('BS Balances'!G:G,'BS Balances'!F:F,DATE(2026,3,31),'BS Balances'!E:E,"Liability")</f>
        <v>33676.31</v>
      </c>
    </row>
    <row r="82" spans="1:17" x14ac:dyDescent="0.3">
      <c r="A82" s="2"/>
      <c r="B82" s="23" t="s">
        <v>193</v>
      </c>
      <c r="C82" s="22">
        <f t="shared" ref="C82:Q82" si="4">C80-C81</f>
        <v>0</v>
      </c>
      <c r="D82" s="22">
        <f t="shared" si="4"/>
        <v>0</v>
      </c>
      <c r="E82" s="22">
        <f t="shared" si="4"/>
        <v>0</v>
      </c>
      <c r="F82" s="22">
        <f t="shared" si="4"/>
        <v>0</v>
      </c>
      <c r="G82" s="22">
        <f t="shared" si="4"/>
        <v>0</v>
      </c>
      <c r="H82" s="22">
        <f t="shared" si="4"/>
        <v>0</v>
      </c>
      <c r="I82" s="22">
        <f t="shared" si="4"/>
        <v>0</v>
      </c>
      <c r="J82" s="22">
        <f t="shared" si="4"/>
        <v>0</v>
      </c>
      <c r="K82" s="22">
        <f t="shared" si="4"/>
        <v>0</v>
      </c>
      <c r="L82" s="22">
        <f t="shared" si="4"/>
        <v>0</v>
      </c>
      <c r="M82" s="22">
        <f t="shared" si="4"/>
        <v>0</v>
      </c>
      <c r="N82" s="22">
        <f t="shared" si="4"/>
        <v>0</v>
      </c>
      <c r="O82" s="22">
        <f t="shared" si="4"/>
        <v>0</v>
      </c>
      <c r="P82" s="22">
        <f t="shared" si="4"/>
        <v>0</v>
      </c>
      <c r="Q82" s="22">
        <f t="shared" si="4"/>
        <v>0</v>
      </c>
    </row>
    <row r="83" spans="1:17" x14ac:dyDescent="0.3">
      <c r="A83" s="2"/>
      <c r="B83" s="23"/>
      <c r="C83" s="32"/>
      <c r="D83" s="32"/>
      <c r="E83" s="32"/>
      <c r="F83" s="32"/>
      <c r="G83" s="32"/>
      <c r="H83" s="32"/>
      <c r="I83" s="32"/>
      <c r="J83" s="32"/>
      <c r="K83" s="32"/>
      <c r="L83" s="32"/>
      <c r="M83" s="32"/>
      <c r="N83" s="32"/>
      <c r="O83" s="32"/>
      <c r="P83" s="32"/>
      <c r="Q83" s="32"/>
    </row>
    <row r="84" spans="1:17" x14ac:dyDescent="0.3">
      <c r="A84" s="2"/>
      <c r="B84" s="23" t="s">
        <v>194</v>
      </c>
      <c r="C84" s="22">
        <f t="shared" ref="C84:Q84" si="5">C71</f>
        <v>322890.15000000002</v>
      </c>
      <c r="D84" s="22">
        <f t="shared" si="5"/>
        <v>354525.58</v>
      </c>
      <c r="E84" s="22">
        <f t="shared" si="5"/>
        <v>423139.38</v>
      </c>
      <c r="F84" s="22">
        <f t="shared" si="5"/>
        <v>427872.81</v>
      </c>
      <c r="G84" s="22">
        <f t="shared" si="5"/>
        <v>453173.82</v>
      </c>
      <c r="H84" s="22">
        <f t="shared" si="5"/>
        <v>490876.63</v>
      </c>
      <c r="I84" s="22">
        <f t="shared" si="5"/>
        <v>221754.81</v>
      </c>
      <c r="J84" s="22">
        <f t="shared" si="5"/>
        <v>232737.04</v>
      </c>
      <c r="K84" s="22">
        <f t="shared" si="5"/>
        <v>301769.45</v>
      </c>
      <c r="L84" s="22">
        <f t="shared" si="5"/>
        <v>299740.71000000002</v>
      </c>
      <c r="M84" s="22">
        <f t="shared" si="5"/>
        <v>386899.88</v>
      </c>
      <c r="N84" s="22">
        <f t="shared" si="5"/>
        <v>364388.19</v>
      </c>
      <c r="O84" s="22">
        <f t="shared" si="5"/>
        <v>340965.13</v>
      </c>
      <c r="P84" s="22">
        <f t="shared" si="5"/>
        <v>358193.9</v>
      </c>
      <c r="Q84" s="22">
        <f t="shared" si="5"/>
        <v>353705.13</v>
      </c>
    </row>
    <row r="85" spans="1:17" x14ac:dyDescent="0.3">
      <c r="A85" s="2"/>
      <c r="B85" s="23" t="s">
        <v>195</v>
      </c>
      <c r="C85" s="135">
        <f>SUMIFS('BS Balances'!G:G,'BS Balances'!F:F,DATE(2025,1,31),'BS Balances'!E:E,"Equity")</f>
        <v>322890.15000000002</v>
      </c>
      <c r="D85" s="135">
        <f>SUMIFS('BS Balances'!G:G,'BS Balances'!F:F,DATE(2025,2,28),'BS Balances'!E:E,"Equity")</f>
        <v>354525.58</v>
      </c>
      <c r="E85" s="135">
        <f>SUMIFS('BS Balances'!G:G,'BS Balances'!F:F,DATE(2025,3,31),'BS Balances'!E:E,"Equity")</f>
        <v>423139.38</v>
      </c>
      <c r="F85" s="135">
        <f>SUMIFS('BS Balances'!G:G,'BS Balances'!F:F,DATE(2025,4,30),'BS Balances'!E:E,"Equity")</f>
        <v>427872.81</v>
      </c>
      <c r="G85" s="135">
        <f>SUMIFS('BS Balances'!G:G,'BS Balances'!F:F,DATE(2025,5,31),'BS Balances'!E:E,"Equity")</f>
        <v>453173.82</v>
      </c>
      <c r="H85" s="135">
        <f>SUMIFS('BS Balances'!G:G,'BS Balances'!F:F,DATE(2025,6,30),'BS Balances'!E:E,"Equity")</f>
        <v>490876.63000000006</v>
      </c>
      <c r="I85" s="135">
        <f>SUMIFS('BS Balances'!G:G,'BS Balances'!F:F,DATE(2025,7,31),'BS Balances'!E:E,"Equity")</f>
        <v>221754.81</v>
      </c>
      <c r="J85" s="135">
        <f>SUMIFS('BS Balances'!G:G,'BS Balances'!F:F,DATE(2025,8,31),'BS Balances'!E:E,"Equity")</f>
        <v>232737.04</v>
      </c>
      <c r="K85" s="135">
        <f>SUMIFS('BS Balances'!G:G,'BS Balances'!F:F,DATE(2025,9,30),'BS Balances'!E:E,"Equity")</f>
        <v>301769.45</v>
      </c>
      <c r="L85" s="135">
        <f>SUMIFS('BS Balances'!G:G,'BS Balances'!F:F,DATE(2025,10,31),'BS Balances'!E:E,"Equity")</f>
        <v>299740.71000000002</v>
      </c>
      <c r="M85" s="135">
        <f>SUMIFS('BS Balances'!G:G,'BS Balances'!F:F,DATE(2025,11,30),'BS Balances'!E:E,"Equity")</f>
        <v>386899.88</v>
      </c>
      <c r="N85" s="135">
        <f>SUMIFS('BS Balances'!G:G,'BS Balances'!F:F,DATE(2025,12,31),'BS Balances'!E:E,"Equity")</f>
        <v>364388.19</v>
      </c>
      <c r="O85" s="135">
        <f>SUMIFS('BS Balances'!G:G,'BS Balances'!F:F,DATE(2026,1,31),'BS Balances'!E:E,"Equity")</f>
        <v>340965.13</v>
      </c>
      <c r="P85" s="135">
        <f>SUMIFS('BS Balances'!G:G,'BS Balances'!F:F,DATE(2026,2,28),'BS Balances'!E:E,"Equity")</f>
        <v>358193.9</v>
      </c>
      <c r="Q85" s="135">
        <f>SUMIFS('BS Balances'!G:G,'BS Balances'!F:F,DATE(2026,3,31),'BS Balances'!E:E,"Equity")</f>
        <v>353705.13</v>
      </c>
    </row>
    <row r="86" spans="1:17" x14ac:dyDescent="0.3">
      <c r="A86" s="2"/>
      <c r="B86" s="23" t="s">
        <v>196</v>
      </c>
      <c r="C86" s="22">
        <f t="shared" ref="C86:Q86" si="6">C84-C85</f>
        <v>0</v>
      </c>
      <c r="D86" s="22">
        <f t="shared" si="6"/>
        <v>0</v>
      </c>
      <c r="E86" s="22">
        <f t="shared" si="6"/>
        <v>0</v>
      </c>
      <c r="F86" s="22">
        <f t="shared" si="6"/>
        <v>0</v>
      </c>
      <c r="G86" s="22">
        <f t="shared" si="6"/>
        <v>0</v>
      </c>
      <c r="H86" s="22">
        <f t="shared" si="6"/>
        <v>0</v>
      </c>
      <c r="I86" s="22">
        <f t="shared" si="6"/>
        <v>0</v>
      </c>
      <c r="J86" s="22">
        <f t="shared" si="6"/>
        <v>0</v>
      </c>
      <c r="K86" s="22">
        <f t="shared" si="6"/>
        <v>0</v>
      </c>
      <c r="L86" s="22">
        <f t="shared" si="6"/>
        <v>0</v>
      </c>
      <c r="M86" s="22">
        <f t="shared" si="6"/>
        <v>0</v>
      </c>
      <c r="N86" s="22">
        <f t="shared" si="6"/>
        <v>0</v>
      </c>
      <c r="O86" s="22">
        <f t="shared" si="6"/>
        <v>0</v>
      </c>
      <c r="P86" s="22">
        <f t="shared" si="6"/>
        <v>0</v>
      </c>
      <c r="Q86" s="22">
        <f t="shared" si="6"/>
        <v>0</v>
      </c>
    </row>
  </sheetData>
  <conditionalFormatting sqref="C78:Q78">
    <cfRule type="cellIs" dxfId="28" priority="1" operator="notEqual">
      <formula>0</formula>
    </cfRule>
  </conditionalFormatting>
  <conditionalFormatting sqref="C82:Q82">
    <cfRule type="cellIs" dxfId="27" priority="2" operator="notEqual">
      <formula>0</formula>
    </cfRule>
  </conditionalFormatting>
  <conditionalFormatting sqref="C86:Q86">
    <cfRule type="cellIs" dxfId="26" priority="3" operator="notEqual">
      <formula>0</formula>
    </cfRule>
  </conditionalFormatting>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32"/>
  <sheetViews>
    <sheetView showGridLines="0" workbookViewId="0">
      <pane ySplit="5" topLeftCell="A6" activePane="bottomLeft" state="frozen"/>
      <selection pane="bottomLeft"/>
    </sheetView>
  </sheetViews>
  <sheetFormatPr defaultRowHeight="14.4" x14ac:dyDescent="0.3"/>
  <cols>
    <col min="1" max="1" width="0.6640625" customWidth="1"/>
    <col min="2" max="2" width="17.21875" bestFit="1" customWidth="1"/>
    <col min="3" max="8" width="16" customWidth="1"/>
  </cols>
  <sheetData>
    <row r="1" spans="1:8" x14ac:dyDescent="0.3">
      <c r="A1" s="1" t="s">
        <v>386</v>
      </c>
      <c r="B1" s="2"/>
      <c r="C1" s="2"/>
      <c r="D1" s="2"/>
      <c r="E1" s="2"/>
      <c r="F1" s="2"/>
      <c r="G1" s="2"/>
      <c r="H1" s="2"/>
    </row>
    <row r="2" spans="1:8" x14ac:dyDescent="0.3">
      <c r="A2" s="3" t="s">
        <v>197</v>
      </c>
      <c r="B2" s="2"/>
      <c r="C2" s="2"/>
      <c r="D2" s="2"/>
      <c r="E2" s="2"/>
      <c r="F2" s="2"/>
      <c r="G2" s="2"/>
      <c r="H2" s="2"/>
    </row>
    <row r="3" spans="1:8" x14ac:dyDescent="0.3">
      <c r="A3" s="8" t="s">
        <v>198</v>
      </c>
      <c r="B3" s="2"/>
      <c r="C3" s="2"/>
      <c r="D3" s="2"/>
      <c r="E3" s="2"/>
      <c r="F3" s="2"/>
      <c r="G3" s="2"/>
      <c r="H3" s="2"/>
    </row>
    <row r="4" spans="1:8" x14ac:dyDescent="0.3">
      <c r="A4" s="2"/>
      <c r="B4" s="2"/>
      <c r="C4" s="2"/>
      <c r="D4" s="2"/>
      <c r="E4" s="2"/>
      <c r="F4" s="2"/>
      <c r="G4" s="2"/>
      <c r="H4" s="2"/>
    </row>
    <row r="5" spans="1:8" x14ac:dyDescent="0.3">
      <c r="A5" s="2"/>
      <c r="B5" s="9" t="s">
        <v>199</v>
      </c>
      <c r="C5" s="10" t="s">
        <v>200</v>
      </c>
      <c r="D5" s="10" t="s">
        <v>201</v>
      </c>
      <c r="E5" s="10" t="s">
        <v>202</v>
      </c>
      <c r="F5" s="10" t="s">
        <v>203</v>
      </c>
      <c r="G5" s="10" t="s">
        <v>204</v>
      </c>
      <c r="H5" s="10" t="s">
        <v>33</v>
      </c>
    </row>
    <row r="6" spans="1:8" x14ac:dyDescent="0.3">
      <c r="A6" s="2"/>
      <c r="B6" s="11" t="s">
        <v>458</v>
      </c>
      <c r="C6" s="7">
        <v>300</v>
      </c>
      <c r="D6" s="7">
        <v>400</v>
      </c>
      <c r="E6" s="12"/>
      <c r="F6" s="12"/>
      <c r="G6" s="12"/>
      <c r="H6" s="7">
        <v>700</v>
      </c>
    </row>
    <row r="7" spans="1:8" x14ac:dyDescent="0.3">
      <c r="A7" s="2"/>
      <c r="B7" s="11" t="s">
        <v>458</v>
      </c>
      <c r="C7" s="7">
        <v>300</v>
      </c>
      <c r="D7" s="12"/>
      <c r="E7" s="12"/>
      <c r="F7" s="7">
        <v>400</v>
      </c>
      <c r="G7" s="7">
        <v>-1000</v>
      </c>
      <c r="H7" s="7">
        <v>-300</v>
      </c>
    </row>
    <row r="8" spans="1:8" x14ac:dyDescent="0.3">
      <c r="A8" s="2"/>
      <c r="B8" s="13" t="s">
        <v>459</v>
      </c>
      <c r="C8" s="14">
        <v>600</v>
      </c>
      <c r="D8" s="14">
        <v>400</v>
      </c>
      <c r="E8" s="14">
        <v>0</v>
      </c>
      <c r="F8" s="14">
        <v>400</v>
      </c>
      <c r="G8" s="14">
        <v>-1000</v>
      </c>
      <c r="H8" s="14">
        <v>400</v>
      </c>
    </row>
    <row r="9" spans="1:8" x14ac:dyDescent="0.3">
      <c r="A9" s="2"/>
      <c r="B9" s="11" t="s">
        <v>460</v>
      </c>
      <c r="C9" s="7">
        <v>2572.5</v>
      </c>
      <c r="D9" s="12"/>
      <c r="E9" s="12"/>
      <c r="F9" s="12"/>
      <c r="G9" s="12"/>
      <c r="H9" s="7">
        <v>2572.5</v>
      </c>
    </row>
    <row r="10" spans="1:8" x14ac:dyDescent="0.3">
      <c r="A10" s="2"/>
      <c r="B10" s="13" t="s">
        <v>461</v>
      </c>
      <c r="C10" s="14">
        <v>2572.5</v>
      </c>
      <c r="D10" s="14">
        <v>0</v>
      </c>
      <c r="E10" s="14">
        <v>0</v>
      </c>
      <c r="F10" s="14">
        <v>0</v>
      </c>
      <c r="G10" s="14">
        <v>0</v>
      </c>
      <c r="H10" s="14">
        <v>2572.5</v>
      </c>
    </row>
    <row r="11" spans="1:8" x14ac:dyDescent="0.3">
      <c r="A11" s="2"/>
      <c r="B11" s="11" t="s">
        <v>462</v>
      </c>
      <c r="C11" s="12"/>
      <c r="D11" s="12"/>
      <c r="E11" s="7">
        <v>1210</v>
      </c>
      <c r="F11" s="7">
        <v>1210</v>
      </c>
      <c r="G11" s="7">
        <v>1190</v>
      </c>
      <c r="H11" s="7">
        <v>3610</v>
      </c>
    </row>
    <row r="12" spans="1:8" x14ac:dyDescent="0.3">
      <c r="A12" s="2"/>
      <c r="B12" s="13" t="s">
        <v>463</v>
      </c>
      <c r="C12" s="14">
        <v>0</v>
      </c>
      <c r="D12" s="14">
        <v>0</v>
      </c>
      <c r="E12" s="14">
        <v>1210</v>
      </c>
      <c r="F12" s="14">
        <v>1210</v>
      </c>
      <c r="G12" s="14">
        <v>1190</v>
      </c>
      <c r="H12" s="14">
        <v>3610</v>
      </c>
    </row>
    <row r="13" spans="1:8" x14ac:dyDescent="0.3">
      <c r="A13" s="2"/>
      <c r="B13" s="11" t="s">
        <v>464</v>
      </c>
      <c r="C13" s="7">
        <v>797.5</v>
      </c>
      <c r="D13" s="7">
        <v>1611.25</v>
      </c>
      <c r="E13" s="12"/>
      <c r="F13" s="12"/>
      <c r="G13" s="12"/>
      <c r="H13" s="7">
        <v>2408.75</v>
      </c>
    </row>
    <row r="14" spans="1:8" x14ac:dyDescent="0.3">
      <c r="A14" s="2"/>
      <c r="B14" s="13" t="s">
        <v>465</v>
      </c>
      <c r="C14" s="14">
        <v>797.5</v>
      </c>
      <c r="D14" s="14">
        <v>1611.25</v>
      </c>
      <c r="E14" s="14">
        <v>0</v>
      </c>
      <c r="F14" s="14">
        <v>0</v>
      </c>
      <c r="G14" s="14">
        <v>0</v>
      </c>
      <c r="H14" s="14">
        <v>2408.75</v>
      </c>
    </row>
    <row r="15" spans="1:8" x14ac:dyDescent="0.3">
      <c r="A15" s="2"/>
      <c r="B15" s="11" t="s">
        <v>466</v>
      </c>
      <c r="C15" s="7">
        <v>3197.95</v>
      </c>
      <c r="D15" s="12"/>
      <c r="E15" s="12"/>
      <c r="F15" s="12"/>
      <c r="G15" s="12"/>
      <c r="H15" s="7">
        <v>3197.95</v>
      </c>
    </row>
    <row r="16" spans="1:8" x14ac:dyDescent="0.3">
      <c r="A16" s="2"/>
      <c r="B16" s="13" t="s">
        <v>467</v>
      </c>
      <c r="C16" s="14">
        <v>3197.95</v>
      </c>
      <c r="D16" s="14">
        <v>0</v>
      </c>
      <c r="E16" s="14">
        <v>0</v>
      </c>
      <c r="F16" s="14">
        <v>0</v>
      </c>
      <c r="G16" s="14">
        <v>0</v>
      </c>
      <c r="H16" s="14">
        <v>3197.95</v>
      </c>
    </row>
    <row r="17" spans="1:8" x14ac:dyDescent="0.3">
      <c r="A17" s="2"/>
      <c r="B17" s="11" t="s">
        <v>468</v>
      </c>
      <c r="C17" s="12"/>
      <c r="D17" s="7">
        <v>6097</v>
      </c>
      <c r="E17" s="7">
        <v>10332</v>
      </c>
      <c r="F17" s="7">
        <v>4141</v>
      </c>
      <c r="G17" s="7">
        <v>11487.5</v>
      </c>
      <c r="H17" s="7">
        <v>32057.5</v>
      </c>
    </row>
    <row r="18" spans="1:8" x14ac:dyDescent="0.3">
      <c r="A18" s="2"/>
      <c r="B18" s="11" t="s">
        <v>468</v>
      </c>
      <c r="C18" s="12"/>
      <c r="D18" s="12"/>
      <c r="E18" s="12"/>
      <c r="F18" s="12"/>
      <c r="G18" s="7">
        <v>7000</v>
      </c>
      <c r="H18" s="7">
        <v>7000</v>
      </c>
    </row>
    <row r="19" spans="1:8" x14ac:dyDescent="0.3">
      <c r="A19" s="2"/>
      <c r="B19" s="11" t="s">
        <v>468</v>
      </c>
      <c r="C19" s="12"/>
      <c r="D19" s="12"/>
      <c r="E19" s="12"/>
      <c r="F19" s="12"/>
      <c r="G19" s="7">
        <v>7000</v>
      </c>
      <c r="H19" s="7">
        <v>7000</v>
      </c>
    </row>
    <row r="20" spans="1:8" x14ac:dyDescent="0.3">
      <c r="A20" s="2"/>
      <c r="B20" s="11" t="s">
        <v>468</v>
      </c>
      <c r="C20" s="12"/>
      <c r="D20" s="12"/>
      <c r="E20" s="12"/>
      <c r="F20" s="12"/>
      <c r="G20" s="7">
        <v>7000</v>
      </c>
      <c r="H20" s="7">
        <v>7000</v>
      </c>
    </row>
    <row r="21" spans="1:8" x14ac:dyDescent="0.3">
      <c r="A21" s="2"/>
      <c r="B21" s="13" t="s">
        <v>469</v>
      </c>
      <c r="C21" s="14">
        <v>0</v>
      </c>
      <c r="D21" s="14">
        <v>6097</v>
      </c>
      <c r="E21" s="14">
        <v>10332</v>
      </c>
      <c r="F21" s="14">
        <v>4141</v>
      </c>
      <c r="G21" s="14">
        <v>32487.5</v>
      </c>
      <c r="H21" s="14">
        <v>53057.5</v>
      </c>
    </row>
    <row r="22" spans="1:8" x14ac:dyDescent="0.3">
      <c r="A22" s="2"/>
      <c r="B22" s="11" t="s">
        <v>470</v>
      </c>
      <c r="C22" s="7">
        <v>2103.75</v>
      </c>
      <c r="D22" s="12"/>
      <c r="E22" s="12"/>
      <c r="F22" s="12"/>
      <c r="G22" s="12"/>
      <c r="H22" s="7">
        <v>2103.75</v>
      </c>
    </row>
    <row r="23" spans="1:8" x14ac:dyDescent="0.3">
      <c r="A23" s="2"/>
      <c r="B23" s="11" t="s">
        <v>470</v>
      </c>
      <c r="C23" s="7">
        <v>16403.5</v>
      </c>
      <c r="D23" s="12"/>
      <c r="E23" s="12"/>
      <c r="F23" s="12"/>
      <c r="G23" s="12"/>
      <c r="H23" s="7">
        <v>16403.5</v>
      </c>
    </row>
    <row r="24" spans="1:8" x14ac:dyDescent="0.3">
      <c r="A24" s="2"/>
      <c r="B24" s="11" t="s">
        <v>470</v>
      </c>
      <c r="C24" s="7">
        <v>950</v>
      </c>
      <c r="D24" s="12"/>
      <c r="E24" s="12"/>
      <c r="F24" s="12"/>
      <c r="G24" s="12"/>
      <c r="H24" s="7">
        <v>950</v>
      </c>
    </row>
    <row r="25" spans="1:8" x14ac:dyDescent="0.3">
      <c r="A25" s="2"/>
      <c r="B25" s="13" t="s">
        <v>471</v>
      </c>
      <c r="C25" s="14">
        <v>19457.25</v>
      </c>
      <c r="D25" s="14">
        <v>0</v>
      </c>
      <c r="E25" s="14">
        <v>0</v>
      </c>
      <c r="F25" s="14">
        <v>0</v>
      </c>
      <c r="G25" s="14">
        <v>0</v>
      </c>
      <c r="H25" s="14">
        <v>19457.25</v>
      </c>
    </row>
    <row r="26" spans="1:8" x14ac:dyDescent="0.3">
      <c r="A26" s="2"/>
      <c r="B26" s="11" t="s">
        <v>472</v>
      </c>
      <c r="C26" s="7">
        <v>8260</v>
      </c>
      <c r="D26" s="12"/>
      <c r="E26" s="12"/>
      <c r="F26" s="12"/>
      <c r="G26" s="12"/>
      <c r="H26" s="7">
        <v>8260</v>
      </c>
    </row>
    <row r="27" spans="1:8" x14ac:dyDescent="0.3">
      <c r="A27" s="2"/>
      <c r="B27" s="13" t="s">
        <v>473</v>
      </c>
      <c r="C27" s="14">
        <v>8260</v>
      </c>
      <c r="D27" s="14">
        <v>0</v>
      </c>
      <c r="E27" s="14">
        <v>0</v>
      </c>
      <c r="F27" s="14">
        <v>0</v>
      </c>
      <c r="G27" s="14">
        <v>0</v>
      </c>
      <c r="H27" s="14">
        <v>8260</v>
      </c>
    </row>
    <row r="28" spans="1:8" x14ac:dyDescent="0.3">
      <c r="A28" s="2"/>
      <c r="B28" s="11" t="s">
        <v>474</v>
      </c>
      <c r="C28" s="7">
        <v>1890</v>
      </c>
      <c r="D28" s="12"/>
      <c r="E28" s="12"/>
      <c r="F28" s="12"/>
      <c r="G28" s="12"/>
      <c r="H28" s="7">
        <v>1890</v>
      </c>
    </row>
    <row r="29" spans="1:8" x14ac:dyDescent="0.3">
      <c r="A29" s="2"/>
      <c r="B29" s="13" t="s">
        <v>475</v>
      </c>
      <c r="C29" s="14">
        <v>1890</v>
      </c>
      <c r="D29" s="14">
        <v>0</v>
      </c>
      <c r="E29" s="14">
        <v>0</v>
      </c>
      <c r="F29" s="14">
        <v>0</v>
      </c>
      <c r="G29" s="14">
        <v>0</v>
      </c>
      <c r="H29" s="14">
        <v>1890</v>
      </c>
    </row>
    <row r="30" spans="1:8" x14ac:dyDescent="0.3">
      <c r="A30" s="2"/>
      <c r="B30" s="11" t="s">
        <v>476</v>
      </c>
      <c r="C30" s="7">
        <v>15165</v>
      </c>
      <c r="D30" s="12"/>
      <c r="E30" s="12"/>
      <c r="F30" s="12"/>
      <c r="G30" s="12"/>
      <c r="H30" s="7">
        <v>15165</v>
      </c>
    </row>
    <row r="31" spans="1:8" x14ac:dyDescent="0.3">
      <c r="A31" s="2"/>
      <c r="B31" s="13" t="s">
        <v>477</v>
      </c>
      <c r="C31" s="14">
        <v>15165</v>
      </c>
      <c r="D31" s="14">
        <v>0</v>
      </c>
      <c r="E31" s="14">
        <v>0</v>
      </c>
      <c r="F31" s="14">
        <v>0</v>
      </c>
      <c r="G31" s="14">
        <v>0</v>
      </c>
      <c r="H31" s="14">
        <v>15165</v>
      </c>
    </row>
    <row r="32" spans="1:8" x14ac:dyDescent="0.3">
      <c r="A32" s="2"/>
      <c r="B32" s="15" t="s">
        <v>205</v>
      </c>
      <c r="C32" s="16">
        <v>51940.2</v>
      </c>
      <c r="D32" s="16">
        <v>8108.25</v>
      </c>
      <c r="E32" s="16">
        <v>11542</v>
      </c>
      <c r="F32" s="16">
        <v>5751</v>
      </c>
      <c r="G32" s="16">
        <v>32677.5</v>
      </c>
      <c r="H32" s="16">
        <v>110018.95</v>
      </c>
    </row>
  </sheetData>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4"/>
  <sheetViews>
    <sheetView showGridLines="0" workbookViewId="0">
      <pane ySplit="5" topLeftCell="A6" activePane="bottomLeft" state="frozen"/>
      <selection pane="bottomLeft"/>
    </sheetView>
  </sheetViews>
  <sheetFormatPr defaultRowHeight="14.4" x14ac:dyDescent="0.3"/>
  <cols>
    <col min="1" max="1" width="0.6640625" customWidth="1"/>
    <col min="2" max="2" width="9.77734375" bestFit="1" customWidth="1"/>
    <col min="3" max="8" width="16" customWidth="1"/>
  </cols>
  <sheetData>
    <row r="1" spans="1:8" x14ac:dyDescent="0.3">
      <c r="A1" s="1" t="s">
        <v>386</v>
      </c>
      <c r="B1" s="2"/>
      <c r="C1" s="2"/>
      <c r="D1" s="2"/>
      <c r="E1" s="2"/>
      <c r="F1" s="2"/>
      <c r="G1" s="2"/>
      <c r="H1" s="2"/>
    </row>
    <row r="2" spans="1:8" x14ac:dyDescent="0.3">
      <c r="A2" s="3" t="s">
        <v>206</v>
      </c>
      <c r="B2" s="2"/>
      <c r="C2" s="2"/>
      <c r="D2" s="2"/>
      <c r="E2" s="2"/>
      <c r="F2" s="2"/>
      <c r="G2" s="2"/>
      <c r="H2" s="2"/>
    </row>
    <row r="3" spans="1:8" x14ac:dyDescent="0.3">
      <c r="A3" s="8" t="s">
        <v>198</v>
      </c>
      <c r="B3" s="2"/>
      <c r="C3" s="2"/>
      <c r="D3" s="2"/>
      <c r="E3" s="2"/>
      <c r="F3" s="2"/>
      <c r="G3" s="2"/>
      <c r="H3" s="2"/>
    </row>
    <row r="4" spans="1:8" x14ac:dyDescent="0.3">
      <c r="A4" s="2"/>
      <c r="B4" s="2"/>
      <c r="C4" s="2"/>
      <c r="D4" s="2"/>
      <c r="E4" s="2"/>
      <c r="F4" s="2"/>
      <c r="G4" s="2"/>
      <c r="H4" s="2"/>
    </row>
    <row r="5" spans="1:8" x14ac:dyDescent="0.3">
      <c r="A5" s="2"/>
      <c r="B5" s="9" t="s">
        <v>207</v>
      </c>
      <c r="C5" s="10" t="s">
        <v>200</v>
      </c>
      <c r="D5" s="10" t="s">
        <v>201</v>
      </c>
      <c r="E5" s="10" t="s">
        <v>202</v>
      </c>
      <c r="F5" s="10" t="s">
        <v>203</v>
      </c>
      <c r="G5" s="10" t="s">
        <v>204</v>
      </c>
      <c r="H5" s="10" t="s">
        <v>33</v>
      </c>
    </row>
    <row r="6" spans="1:8" x14ac:dyDescent="0.3">
      <c r="A6" s="2"/>
      <c r="B6" s="11" t="s">
        <v>478</v>
      </c>
      <c r="C6" s="7">
        <v>1600</v>
      </c>
      <c r="D6" s="12"/>
      <c r="E6" s="12"/>
      <c r="F6" s="12"/>
      <c r="G6" s="12"/>
      <c r="H6" s="7">
        <v>1600</v>
      </c>
    </row>
    <row r="7" spans="1:8" x14ac:dyDescent="0.3">
      <c r="A7" s="2"/>
      <c r="B7" s="11" t="s">
        <v>479</v>
      </c>
      <c r="C7" s="7">
        <v>1725.58</v>
      </c>
      <c r="D7" s="12"/>
      <c r="E7" s="12"/>
      <c r="F7" s="12"/>
      <c r="G7" s="12"/>
      <c r="H7" s="7">
        <v>1725.58</v>
      </c>
    </row>
    <row r="8" spans="1:8" x14ac:dyDescent="0.3">
      <c r="A8" s="2"/>
      <c r="B8" s="11" t="s">
        <v>480</v>
      </c>
      <c r="C8" s="7">
        <v>987.48</v>
      </c>
      <c r="D8" s="12"/>
      <c r="E8" s="12"/>
      <c r="F8" s="12"/>
      <c r="G8" s="12"/>
      <c r="H8" s="7">
        <v>987.48</v>
      </c>
    </row>
    <row r="9" spans="1:8" x14ac:dyDescent="0.3">
      <c r="A9" s="2"/>
      <c r="B9" s="11" t="s">
        <v>481</v>
      </c>
      <c r="C9" s="12"/>
      <c r="D9" s="7">
        <v>89.46</v>
      </c>
      <c r="E9" s="7">
        <v>83.7</v>
      </c>
      <c r="F9" s="12"/>
      <c r="G9" s="12"/>
      <c r="H9" s="7">
        <v>173.16</v>
      </c>
    </row>
    <row r="10" spans="1:8" x14ac:dyDescent="0.3">
      <c r="A10" s="2"/>
      <c r="B10" s="11" t="s">
        <v>482</v>
      </c>
      <c r="C10" s="7">
        <v>167.4</v>
      </c>
      <c r="D10" s="12"/>
      <c r="E10" s="12"/>
      <c r="F10" s="12"/>
      <c r="G10" s="12"/>
      <c r="H10" s="7">
        <v>167.4</v>
      </c>
    </row>
    <row r="11" spans="1:8" x14ac:dyDescent="0.3">
      <c r="A11" s="2"/>
      <c r="B11" s="11" t="s">
        <v>483</v>
      </c>
      <c r="C11" s="12"/>
      <c r="D11" s="12"/>
      <c r="E11" s="7">
        <v>1500</v>
      </c>
      <c r="F11" s="12"/>
      <c r="G11" s="12"/>
      <c r="H11" s="7">
        <v>1500</v>
      </c>
    </row>
    <row r="12" spans="1:8" x14ac:dyDescent="0.3">
      <c r="A12" s="2"/>
      <c r="B12" s="11" t="s">
        <v>484</v>
      </c>
      <c r="C12" s="12"/>
      <c r="D12" s="7">
        <v>251.62</v>
      </c>
      <c r="E12" s="12"/>
      <c r="F12" s="12"/>
      <c r="G12" s="12"/>
      <c r="H12" s="7">
        <v>251.62</v>
      </c>
    </row>
    <row r="13" spans="1:8" x14ac:dyDescent="0.3">
      <c r="A13" s="2"/>
      <c r="B13" s="11" t="s">
        <v>485</v>
      </c>
      <c r="C13" s="12"/>
      <c r="D13" s="12"/>
      <c r="E13" s="12"/>
      <c r="F13" s="12"/>
      <c r="G13" s="7">
        <v>0</v>
      </c>
      <c r="H13" s="7">
        <v>0</v>
      </c>
    </row>
    <row r="14" spans="1:8" x14ac:dyDescent="0.3">
      <c r="A14" s="2"/>
      <c r="B14" s="15" t="s">
        <v>205</v>
      </c>
      <c r="C14" s="16">
        <v>4480.46</v>
      </c>
      <c r="D14" s="16">
        <v>341.08</v>
      </c>
      <c r="E14" s="16">
        <v>1583.7</v>
      </c>
      <c r="F14" s="16">
        <v>0</v>
      </c>
      <c r="G14" s="16">
        <v>0</v>
      </c>
      <c r="H14" s="16">
        <v>6405.24</v>
      </c>
    </row>
  </sheetData>
  <phoneticPr fontId="38" type="noConversion"/>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7393C"/>
  </sheetPr>
  <dimension ref="A1"/>
  <sheetViews>
    <sheetView showGridLines="0" workbookViewId="0"/>
  </sheetViews>
  <sheetFormatPr defaultRowHeight="14.4" x14ac:dyDescent="0.3"/>
  <sheetData/>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48"/>
  <sheetViews>
    <sheetView showGridLines="0" zoomScaleNormal="100" workbookViewId="0">
      <pane ySplit="5" topLeftCell="A6" activePane="bottomLeft" state="frozen"/>
      <selection pane="bottomLeft" activeCell="E15" sqref="E15"/>
    </sheetView>
  </sheetViews>
  <sheetFormatPr defaultRowHeight="14.4" x14ac:dyDescent="0.3"/>
  <cols>
    <col min="1" max="1" width="0.6640625" customWidth="1"/>
    <col min="2" max="2" width="34" customWidth="1"/>
    <col min="3" max="18" width="14" customWidth="1"/>
  </cols>
  <sheetData>
    <row r="1" spans="1:18" x14ac:dyDescent="0.3">
      <c r="A1" s="37" t="s">
        <v>386</v>
      </c>
    </row>
    <row r="2" spans="1:18" x14ac:dyDescent="0.3">
      <c r="A2" s="38" t="s">
        <v>555</v>
      </c>
    </row>
    <row r="5" spans="1:18" x14ac:dyDescent="0.3">
      <c r="B5" s="9" t="s">
        <v>32</v>
      </c>
      <c r="C5" s="208">
        <v>45658</v>
      </c>
      <c r="D5" s="208">
        <v>45689</v>
      </c>
      <c r="E5" s="208">
        <v>45717</v>
      </c>
      <c r="F5" s="208">
        <v>45748</v>
      </c>
      <c r="G5" s="208">
        <v>45778</v>
      </c>
      <c r="H5" s="208">
        <v>45809</v>
      </c>
      <c r="I5" s="208">
        <v>45839</v>
      </c>
      <c r="J5" s="208">
        <v>45870</v>
      </c>
      <c r="K5" s="208">
        <v>45901</v>
      </c>
      <c r="L5" s="208">
        <v>45931</v>
      </c>
      <c r="M5" s="208">
        <v>45962</v>
      </c>
      <c r="N5" s="208">
        <v>45992</v>
      </c>
      <c r="O5" s="208">
        <v>46023</v>
      </c>
      <c r="P5" s="208">
        <v>46054</v>
      </c>
      <c r="Q5" s="208">
        <v>46082</v>
      </c>
      <c r="R5" s="10" t="s">
        <v>33</v>
      </c>
    </row>
    <row r="6" spans="1:18" x14ac:dyDescent="0.3">
      <c r="B6" s="46" t="s">
        <v>208</v>
      </c>
      <c r="C6" s="47"/>
      <c r="D6" s="47"/>
      <c r="E6" s="47"/>
      <c r="F6" s="47"/>
      <c r="G6" s="47"/>
      <c r="H6" s="47"/>
      <c r="I6" s="47"/>
      <c r="J6" s="47"/>
      <c r="K6" s="47"/>
      <c r="L6" s="47"/>
      <c r="M6" s="47"/>
      <c r="N6" s="47"/>
      <c r="O6" s="47"/>
      <c r="P6" s="47"/>
      <c r="Q6" s="47"/>
      <c r="R6" s="47"/>
    </row>
    <row r="7" spans="1:18" x14ac:dyDescent="0.3">
      <c r="B7" s="48" t="s">
        <v>492</v>
      </c>
      <c r="C7" s="136">
        <f>SUMIFS('IS GL Summary'!$F:$F,'IS GL Summary'!$G:$G,"Class B",'IS GL Summary'!$B:$B,DATE(2025,1,31))</f>
        <v>43672.06</v>
      </c>
      <c r="D7" s="136">
        <f>SUMIFS('IS GL Summary'!$F:$F,'IS GL Summary'!$G:$G,"Class B",'IS GL Summary'!$B:$B,DATE(2025,2,28))</f>
        <v>79597.850000000006</v>
      </c>
      <c r="E7" s="136">
        <f>SUMIFS('IS GL Summary'!$F:$F,'IS GL Summary'!$G:$G,"Class B",'IS GL Summary'!$B:$B,DATE(2025,3,31))</f>
        <v>122069.46</v>
      </c>
      <c r="F7" s="136">
        <f>SUMIFS('IS GL Summary'!$F:$F,'IS GL Summary'!$G:$G,"Class B",'IS GL Summary'!$B:$B,DATE(2025,4,30))</f>
        <v>145409.42000000001</v>
      </c>
      <c r="G7" s="136">
        <f>SUMIFS('IS GL Summary'!$F:$F,'IS GL Summary'!$G:$G,"Class B",'IS GL Summary'!$B:$B,DATE(2025,5,31))</f>
        <v>122217.81</v>
      </c>
      <c r="H7" s="136">
        <f>SUMIFS('IS GL Summary'!$F:$F,'IS GL Summary'!$G:$G,"Class B",'IS GL Summary'!$B:$B,DATE(2025,6,30))</f>
        <v>95266.5</v>
      </c>
      <c r="I7" s="136">
        <f>SUMIFS('IS GL Summary'!$F:$F,'IS GL Summary'!$G:$G,"Class B",'IS GL Summary'!$B:$B,DATE(2025,7,31))</f>
        <v>60342.11</v>
      </c>
      <c r="J7" s="136">
        <f>SUMIFS('IS GL Summary'!$F:$F,'IS GL Summary'!$G:$G,"Class B",'IS GL Summary'!$B:$B,DATE(2025,8,31))</f>
        <v>110728.92</v>
      </c>
      <c r="K7" s="136">
        <f>SUMIFS('IS GL Summary'!$F:$F,'IS GL Summary'!$G:$G,"Class B",'IS GL Summary'!$B:$B,DATE(2025,9,30))</f>
        <v>114659.44</v>
      </c>
      <c r="L7" s="136">
        <f>SUMIFS('IS GL Summary'!$F:$F,'IS GL Summary'!$G:$G,"Class B",'IS GL Summary'!$B:$B,DATE(2025,10,31))</f>
        <v>127818.39</v>
      </c>
      <c r="M7" s="136">
        <f>SUMIFS('IS GL Summary'!$F:$F,'IS GL Summary'!$G:$G,"Class B",'IS GL Summary'!$B:$B,DATE(2025,11,30))</f>
        <v>184380.29</v>
      </c>
      <c r="N7" s="136">
        <f>SUMIFS('IS GL Summary'!$F:$F,'IS GL Summary'!$G:$G,"Class B",'IS GL Summary'!$B:$B,DATE(2025,12,31))</f>
        <v>121685.44</v>
      </c>
      <c r="O7" s="136">
        <f>SUMIFS('IS GL Summary'!$F:$F,'IS GL Summary'!$G:$G,"Class B",'IS GL Summary'!$B:$B,DATE(2026,1,31))</f>
        <v>125841.72</v>
      </c>
      <c r="P7" s="136">
        <f>SUMIFS('IS GL Summary'!$F:$F,'IS GL Summary'!$G:$G,"Class B",'IS GL Summary'!$B:$B,DATE(2026,2,28))</f>
        <v>112214.22</v>
      </c>
      <c r="Q7" s="136">
        <f>SUMIFS('IS GL Summary'!$F:$F,'IS GL Summary'!$G:$G,"Class B",'IS GL Summary'!$B:$B,DATE(2026,3,31))</f>
        <v>81007.69</v>
      </c>
      <c r="R7" s="40">
        <f>SUM(C7:Q7)</f>
        <v>1646911.3199999998</v>
      </c>
    </row>
    <row r="8" spans="1:18" x14ac:dyDescent="0.3">
      <c r="B8" s="48" t="s">
        <v>491</v>
      </c>
      <c r="C8" s="136">
        <f>SUMIFS('IS GL Summary'!$F:$F,'IS GL Summary'!$G:$G,"Class A",'IS GL Summary'!$B:$B,DATE(2025,1,31))</f>
        <v>36334.94</v>
      </c>
      <c r="D8" s="136">
        <f>SUMIFS('IS GL Summary'!$F:$F,'IS GL Summary'!$G:$G,"Class A",'IS GL Summary'!$B:$B,DATE(2025,2,28))</f>
        <v>102851.95999999999</v>
      </c>
      <c r="E8" s="136">
        <f>SUMIFS('IS GL Summary'!$F:$F,'IS GL Summary'!$G:$G,"Class A",'IS GL Summary'!$B:$B,DATE(2025,3,31))</f>
        <v>77066.84</v>
      </c>
      <c r="F8" s="136">
        <f>SUMIFS('IS GL Summary'!$F:$F,'IS GL Summary'!$G:$G,"Class A",'IS GL Summary'!$B:$B,DATE(2025,4,30))</f>
        <v>27839.48</v>
      </c>
      <c r="G8" s="136">
        <f>SUMIFS('IS GL Summary'!$F:$F,'IS GL Summary'!$G:$G,"Class A",'IS GL Summary'!$B:$B,DATE(2025,5,31))</f>
        <v>61525.819999999992</v>
      </c>
      <c r="H8" s="136">
        <f>SUMIFS('IS GL Summary'!$F:$F,'IS GL Summary'!$G:$G,"Class A",'IS GL Summary'!$B:$B,DATE(2025,6,30))</f>
        <v>91622.46</v>
      </c>
      <c r="I8" s="136">
        <f>SUMIFS('IS GL Summary'!$F:$F,'IS GL Summary'!$G:$G,"Class A",'IS GL Summary'!$B:$B,DATE(2025,7,31))</f>
        <v>33774.11</v>
      </c>
      <c r="J8" s="136">
        <f>SUMIFS('IS GL Summary'!$F:$F,'IS GL Summary'!$G:$G,"Class A",'IS GL Summary'!$B:$B,DATE(2025,8,31))</f>
        <v>55851.880000000005</v>
      </c>
      <c r="K8" s="136">
        <f>SUMIFS('IS GL Summary'!$F:$F,'IS GL Summary'!$G:$G,"Class A",'IS GL Summary'!$B:$B,DATE(2025,9,30))</f>
        <v>80928.760000000009</v>
      </c>
      <c r="L8" s="136">
        <f>SUMIFS('IS GL Summary'!$F:$F,'IS GL Summary'!$G:$G,"Class A",'IS GL Summary'!$B:$B,DATE(2025,10,31))</f>
        <v>38183.379999999997</v>
      </c>
      <c r="M8" s="136">
        <f>SUMIFS('IS GL Summary'!$F:$F,'IS GL Summary'!$G:$G,"Class A",'IS GL Summary'!$B:$B,DATE(2025,11,30))</f>
        <v>60446.05</v>
      </c>
      <c r="N8" s="136">
        <f>SUMIFS('IS GL Summary'!$F:$F,'IS GL Summary'!$G:$G,"Class A",'IS GL Summary'!$B:$B,DATE(2025,12,31))</f>
        <v>16484.509999999998</v>
      </c>
      <c r="O8" s="136">
        <f>SUMIFS('IS GL Summary'!$F:$F,'IS GL Summary'!$G:$G,"Class A",'IS GL Summary'!$B:$B,DATE(2026,1,31))</f>
        <v>53427.11</v>
      </c>
      <c r="P8" s="136">
        <f>SUMIFS('IS GL Summary'!$F:$F,'IS GL Summary'!$G:$G,"Class A",'IS GL Summary'!$B:$B,DATE(2026,2,28))</f>
        <v>36917.229999999996</v>
      </c>
      <c r="Q8" s="136">
        <f>SUMIFS('IS GL Summary'!$F:$F,'IS GL Summary'!$G:$G,"Class A",'IS GL Summary'!$B:$B,DATE(2026,3,31))</f>
        <v>50475.45</v>
      </c>
      <c r="R8" s="40">
        <f>SUM(C8:Q8)</f>
        <v>823729.98</v>
      </c>
    </row>
    <row r="9" spans="1:18" x14ac:dyDescent="0.3">
      <c r="B9" s="48" t="s">
        <v>209</v>
      </c>
      <c r="C9" s="136">
        <f>SUMIFS('IS GL Summary'!$F:$F,'IS GL Summary'!$G:$G,"Other Income",'IS GL Summary'!$B:$B,DATE(2025,1,31))</f>
        <v>687.5</v>
      </c>
      <c r="D9" s="136">
        <f>SUMIFS('IS GL Summary'!$F:$F,'IS GL Summary'!$G:$G,"Other Income",'IS GL Summary'!$B:$B,DATE(2025,2,28))</f>
        <v>1530</v>
      </c>
      <c r="E9" s="136">
        <f>SUMIFS('IS GL Summary'!$F:$F,'IS GL Summary'!$G:$G,"Other Income",'IS GL Summary'!$B:$B,DATE(2025,3,31))</f>
        <v>0</v>
      </c>
      <c r="F9" s="136">
        <f>SUMIFS('IS GL Summary'!$F:$F,'IS GL Summary'!$G:$G,"Other Income",'IS GL Summary'!$B:$B,DATE(2025,4,30))</f>
        <v>3812.5</v>
      </c>
      <c r="G9" s="136">
        <f>SUMIFS('IS GL Summary'!$F:$F,'IS GL Summary'!$G:$G,"Other Income",'IS GL Summary'!$B:$B,DATE(2025,5,31))</f>
        <v>0</v>
      </c>
      <c r="H9" s="136">
        <f>SUMIFS('IS GL Summary'!$F:$F,'IS GL Summary'!$G:$G,"Other Income",'IS GL Summary'!$B:$B,DATE(2025,6,30))</f>
        <v>0</v>
      </c>
      <c r="I9" s="136">
        <f>SUMIFS('IS GL Summary'!$F:$F,'IS GL Summary'!$G:$G,"Other Income",'IS GL Summary'!$B:$B,DATE(2025,7,31))</f>
        <v>0</v>
      </c>
      <c r="J9" s="136">
        <f>SUMIFS('IS GL Summary'!$F:$F,'IS GL Summary'!$G:$G,"Other Income",'IS GL Summary'!$B:$B,DATE(2025,8,31))</f>
        <v>0</v>
      </c>
      <c r="K9" s="136">
        <f>SUMIFS('IS GL Summary'!$F:$F,'IS GL Summary'!$G:$G,"Other Income",'IS GL Summary'!$B:$B,DATE(2025,9,30))</f>
        <v>0</v>
      </c>
      <c r="L9" s="136">
        <f>SUMIFS('IS GL Summary'!$F:$F,'IS GL Summary'!$G:$G,"Other Income",'IS GL Summary'!$B:$B,DATE(2025,10,31))</f>
        <v>0</v>
      </c>
      <c r="M9" s="136">
        <f>SUMIFS('IS GL Summary'!$F:$F,'IS GL Summary'!$G:$G,"Other Income",'IS GL Summary'!$B:$B,DATE(2025,11,30))</f>
        <v>0</v>
      </c>
      <c r="N9" s="136">
        <f>SUMIFS('IS GL Summary'!$F:$F,'IS GL Summary'!$G:$G,"Other Income",'IS GL Summary'!$B:$B,DATE(2025,12,31))</f>
        <v>0</v>
      </c>
      <c r="O9" s="136">
        <f>SUMIFS('IS GL Summary'!$F:$F,'IS GL Summary'!$G:$G,"Other Income",'IS GL Summary'!$B:$B,DATE(2026,1,31))</f>
        <v>0</v>
      </c>
      <c r="P9" s="136">
        <f>SUMIFS('IS GL Summary'!$F:$F,'IS GL Summary'!$G:$G,"Other Income",'IS GL Summary'!$B:$B,DATE(2026,2,28))</f>
        <v>0</v>
      </c>
      <c r="Q9" s="136">
        <f>SUMIFS('IS GL Summary'!$F:$F,'IS GL Summary'!$G:$G,"Other Income",'IS GL Summary'!$B:$B,DATE(2026,3,31))</f>
        <v>0</v>
      </c>
      <c r="R9" s="40">
        <f>SUM(C9:Q9)</f>
        <v>6030</v>
      </c>
    </row>
    <row r="10" spans="1:18" x14ac:dyDescent="0.3">
      <c r="B10" s="37" t="s">
        <v>210</v>
      </c>
      <c r="C10" s="49">
        <f t="shared" ref="C10:R10" si="0">C7+C8+C9</f>
        <v>80694.5</v>
      </c>
      <c r="D10" s="49">
        <f t="shared" si="0"/>
        <v>183979.81</v>
      </c>
      <c r="E10" s="49">
        <f t="shared" si="0"/>
        <v>199136.3</v>
      </c>
      <c r="F10" s="49">
        <f t="shared" si="0"/>
        <v>177061.40000000002</v>
      </c>
      <c r="G10" s="49">
        <f t="shared" si="0"/>
        <v>183743.63</v>
      </c>
      <c r="H10" s="49">
        <f t="shared" si="0"/>
        <v>186888.96000000002</v>
      </c>
      <c r="I10" s="49">
        <f t="shared" si="0"/>
        <v>94116.22</v>
      </c>
      <c r="J10" s="49">
        <f t="shared" si="0"/>
        <v>166580.79999999999</v>
      </c>
      <c r="K10" s="49">
        <f t="shared" si="0"/>
        <v>195588.2</v>
      </c>
      <c r="L10" s="49">
        <f t="shared" si="0"/>
        <v>166001.76999999999</v>
      </c>
      <c r="M10" s="49">
        <f t="shared" si="0"/>
        <v>244826.34000000003</v>
      </c>
      <c r="N10" s="49">
        <f t="shared" si="0"/>
        <v>138169.95000000001</v>
      </c>
      <c r="O10" s="49">
        <f t="shared" si="0"/>
        <v>179268.83000000002</v>
      </c>
      <c r="P10" s="49">
        <f t="shared" si="0"/>
        <v>149131.45000000001</v>
      </c>
      <c r="Q10" s="49">
        <f t="shared" si="0"/>
        <v>131483.14000000001</v>
      </c>
      <c r="R10" s="49">
        <f t="shared" si="0"/>
        <v>2476671.2999999998</v>
      </c>
    </row>
    <row r="12" spans="1:18" x14ac:dyDescent="0.3">
      <c r="B12" s="46" t="s">
        <v>211</v>
      </c>
      <c r="C12" s="47"/>
      <c r="D12" s="47"/>
      <c r="E12" s="47"/>
      <c r="F12" s="47"/>
      <c r="G12" s="47"/>
      <c r="H12" s="47"/>
      <c r="I12" s="47"/>
      <c r="J12" s="47"/>
      <c r="K12" s="47"/>
      <c r="L12" s="47"/>
      <c r="M12" s="47"/>
      <c r="N12" s="47"/>
      <c r="O12" s="47"/>
      <c r="P12" s="47"/>
      <c r="Q12" s="47"/>
      <c r="R12" s="47"/>
    </row>
    <row r="13" spans="1:18" x14ac:dyDescent="0.3">
      <c r="B13" s="48" t="s">
        <v>550</v>
      </c>
      <c r="C13" s="136">
        <f>SUMIFS('IS GL Summary'!$F:$F,'IS GL Summary'!$G:$G,"Project Expenses",'IS GL Summary'!$B:$B,DATE(2025,1,31))</f>
        <v>8496.5400000000009</v>
      </c>
      <c r="D13" s="136">
        <f>SUMIFS('IS GL Summary'!$F:$F,'IS GL Summary'!$G:$G,"Project Expenses",'IS GL Summary'!$B:$B,DATE(2025,2,28))</f>
        <v>25148.82</v>
      </c>
      <c r="E13" s="136">
        <f>SUMIFS('IS GL Summary'!$F:$F,'IS GL Summary'!$G:$G,"Project Expenses",'IS GL Summary'!$B:$B,DATE(2025,3,31))</f>
        <v>10105.07</v>
      </c>
      <c r="F13" s="136">
        <f>SUMIFS('IS GL Summary'!$F:$F,'IS GL Summary'!$G:$G,"Project Expenses",'IS GL Summary'!$B:$B,DATE(2025,4,30))</f>
        <v>64101.03</v>
      </c>
      <c r="G13" s="136">
        <f>SUMIFS('IS GL Summary'!$F:$F,'IS GL Summary'!$G:$G,"Project Expenses",'IS GL Summary'!$B:$B,DATE(2025,5,31))</f>
        <v>20435.61</v>
      </c>
      <c r="H13" s="136">
        <f>SUMIFS('IS GL Summary'!$F:$F,'IS GL Summary'!$G:$G,"Project Expenses",'IS GL Summary'!$B:$B,DATE(2025,6,30))</f>
        <v>19647.2</v>
      </c>
      <c r="I13" s="136">
        <f>SUMIFS('IS GL Summary'!$F:$F,'IS GL Summary'!$G:$G,"Project Expenses",'IS GL Summary'!$B:$B,DATE(2025,7,31))</f>
        <v>81123.81</v>
      </c>
      <c r="J13" s="136">
        <f>SUMIFS('IS GL Summary'!$F:$F,'IS GL Summary'!$G:$G,"Project Expenses",'IS GL Summary'!$B:$B,DATE(2025,8,31))</f>
        <v>5193</v>
      </c>
      <c r="K13" s="136">
        <f>SUMIFS('IS GL Summary'!$F:$F,'IS GL Summary'!$G:$G,"Project Expenses",'IS GL Summary'!$B:$B,DATE(2025,9,30))</f>
        <v>8578</v>
      </c>
      <c r="L13" s="136">
        <f>SUMIFS('IS GL Summary'!$F:$F,'IS GL Summary'!$G:$G,"Project Expenses",'IS GL Summary'!$B:$B,DATE(2025,10,31))</f>
        <v>46816.35</v>
      </c>
      <c r="M13" s="136">
        <f>SUMIFS('IS GL Summary'!$F:$F,'IS GL Summary'!$G:$G,"Project Expenses",'IS GL Summary'!$B:$B,DATE(2025,11,30))</f>
        <v>14369</v>
      </c>
      <c r="N13" s="136">
        <f>SUMIFS('IS GL Summary'!$F:$F,'IS GL Summary'!$G:$G,"Project Expenses",'IS GL Summary'!$B:$B,DATE(2025,12,31))</f>
        <v>9231.7999999999993</v>
      </c>
      <c r="O13" s="136">
        <f>SUMIFS('IS GL Summary'!$F:$F,'IS GL Summary'!$G:$G,"Project Expenses",'IS GL Summary'!$B:$B,DATE(2026,1,31))</f>
        <v>20893.7</v>
      </c>
      <c r="P13" s="136">
        <f>SUMIFS('IS GL Summary'!$F:$F,'IS GL Summary'!$G:$G,"Project Expenses",'IS GL Summary'!$B:$B,DATE(2026,2,28))</f>
        <v>4834.49</v>
      </c>
      <c r="Q13" s="136">
        <f>SUMIFS('IS GL Summary'!$F:$F,'IS GL Summary'!$G:$G,"Project Expenses",'IS GL Summary'!$B:$B,DATE(2026,3,31))</f>
        <v>7912.4</v>
      </c>
      <c r="R13" s="40">
        <f>SUM(C13:Q13)</f>
        <v>346886.82</v>
      </c>
    </row>
    <row r="14" spans="1:18" x14ac:dyDescent="0.3">
      <c r="B14" s="48" t="s">
        <v>212</v>
      </c>
      <c r="C14" s="136">
        <f>SUMIFS('IS GL Summary'!$F:$F,'IS GL Summary'!$G:$G,"Employee Costs",'IS GL Summary'!$B:$B,DATE(2025,1,31))</f>
        <v>84665.170000000013</v>
      </c>
      <c r="D14" s="136">
        <f>SUMIFS('IS GL Summary'!$F:$F,'IS GL Summary'!$G:$G,"Employee Costs",'IS GL Summary'!$B:$B,DATE(2025,2,28))</f>
        <v>68286.3</v>
      </c>
      <c r="E14" s="136">
        <f>SUMIFS('IS GL Summary'!$F:$F,'IS GL Summary'!$G:$G,"Employee Costs",'IS GL Summary'!$B:$B,DATE(2025,3,31))</f>
        <v>63930.789999999994</v>
      </c>
      <c r="F14" s="136">
        <f>SUMIFS('IS GL Summary'!$F:$F,'IS GL Summary'!$G:$G,"Employee Costs",'IS GL Summary'!$B:$B,DATE(2025,4,30))</f>
        <v>56880.28</v>
      </c>
      <c r="G14" s="136">
        <f>SUMIFS('IS GL Summary'!$F:$F,'IS GL Summary'!$G:$G,"Employee Costs",'IS GL Summary'!$B:$B,DATE(2025,5,31))</f>
        <v>67308.92</v>
      </c>
      <c r="H14" s="136">
        <f>SUMIFS('IS GL Summary'!$F:$F,'IS GL Summary'!$G:$G,"Employee Costs",'IS GL Summary'!$B:$B,DATE(2025,6,30))</f>
        <v>63801.709999999992</v>
      </c>
      <c r="I14" s="136">
        <f>SUMIFS('IS GL Summary'!$F:$F,'IS GL Summary'!$G:$G,"Employee Costs",'IS GL Summary'!$B:$B,DATE(2025,7,31))</f>
        <v>61331.43</v>
      </c>
      <c r="J14" s="136">
        <f>SUMIFS('IS GL Summary'!$F:$F,'IS GL Summary'!$G:$G,"Employee Costs",'IS GL Summary'!$B:$B,DATE(2025,8,31))</f>
        <v>73525.429999999978</v>
      </c>
      <c r="K14" s="136">
        <f>SUMIFS('IS GL Summary'!$F:$F,'IS GL Summary'!$G:$G,"Employee Costs",'IS GL Summary'!$B:$B,DATE(2025,9,30))</f>
        <v>62912.640000000007</v>
      </c>
      <c r="L14" s="136">
        <f>SUMIFS('IS GL Summary'!$F:$F,'IS GL Summary'!$G:$G,"Employee Costs",'IS GL Summary'!$B:$B,DATE(2025,10,31))</f>
        <v>55172.259999999995</v>
      </c>
      <c r="M14" s="136">
        <f>SUMIFS('IS GL Summary'!$F:$F,'IS GL Summary'!$G:$G,"Employee Costs",'IS GL Summary'!$B:$B,DATE(2025,11,30))</f>
        <v>56359.140000000007</v>
      </c>
      <c r="N14" s="136">
        <f>SUMIFS('IS GL Summary'!$F:$F,'IS GL Summary'!$G:$G,"Employee Costs",'IS GL Summary'!$B:$B,DATE(2025,12,31))</f>
        <v>63057.38</v>
      </c>
      <c r="O14" s="136">
        <f>SUMIFS('IS GL Summary'!$F:$F,'IS GL Summary'!$G:$G,"Employee Costs",'IS GL Summary'!$B:$B,DATE(2026,1,31))</f>
        <v>43691.69</v>
      </c>
      <c r="P14" s="136">
        <f>SUMIFS('IS GL Summary'!$F:$F,'IS GL Summary'!$G:$G,"Employee Costs",'IS GL Summary'!$B:$B,DATE(2026,2,28))</f>
        <v>48612.119999999995</v>
      </c>
      <c r="Q14" s="136">
        <f>SUMIFS('IS GL Summary'!$F:$F,'IS GL Summary'!$G:$G,"Employee Costs",'IS GL Summary'!$B:$B,DATE(2026,3,31))</f>
        <v>48822.27</v>
      </c>
      <c r="R14" s="40">
        <f>SUM(C14:Q14)</f>
        <v>918357.53000000014</v>
      </c>
    </row>
    <row r="15" spans="1:18" x14ac:dyDescent="0.3">
      <c r="B15" s="37" t="s">
        <v>213</v>
      </c>
      <c r="C15" s="49">
        <f t="shared" ref="C15:R15" si="1">C13+C14</f>
        <v>93161.710000000021</v>
      </c>
      <c r="D15" s="49">
        <f t="shared" si="1"/>
        <v>93435.12</v>
      </c>
      <c r="E15" s="49">
        <f t="shared" si="1"/>
        <v>74035.859999999986</v>
      </c>
      <c r="F15" s="49">
        <f t="shared" si="1"/>
        <v>120981.31</v>
      </c>
      <c r="G15" s="49">
        <f t="shared" si="1"/>
        <v>87744.53</v>
      </c>
      <c r="H15" s="49">
        <f t="shared" si="1"/>
        <v>83448.909999999989</v>
      </c>
      <c r="I15" s="49">
        <f t="shared" si="1"/>
        <v>142455.24</v>
      </c>
      <c r="J15" s="49">
        <f t="shared" si="1"/>
        <v>78718.429999999978</v>
      </c>
      <c r="K15" s="49">
        <f t="shared" si="1"/>
        <v>71490.640000000014</v>
      </c>
      <c r="L15" s="49">
        <f t="shared" si="1"/>
        <v>101988.60999999999</v>
      </c>
      <c r="M15" s="49">
        <f t="shared" si="1"/>
        <v>70728.140000000014</v>
      </c>
      <c r="N15" s="49">
        <f t="shared" si="1"/>
        <v>72289.179999999993</v>
      </c>
      <c r="O15" s="49">
        <f t="shared" si="1"/>
        <v>64585.39</v>
      </c>
      <c r="P15" s="49">
        <f t="shared" si="1"/>
        <v>53446.609999999993</v>
      </c>
      <c r="Q15" s="49">
        <f t="shared" si="1"/>
        <v>56734.67</v>
      </c>
      <c r="R15" s="49">
        <f t="shared" si="1"/>
        <v>1265244.3500000001</v>
      </c>
    </row>
    <row r="17" spans="2:18" x14ac:dyDescent="0.3">
      <c r="B17" s="37" t="s">
        <v>48</v>
      </c>
      <c r="C17" s="41">
        <f t="shared" ref="C17:R17" si="2">+C10-C15</f>
        <v>-12467.210000000021</v>
      </c>
      <c r="D17" s="41">
        <f t="shared" si="2"/>
        <v>90544.69</v>
      </c>
      <c r="E17" s="41">
        <f t="shared" si="2"/>
        <v>125100.44</v>
      </c>
      <c r="F17" s="41">
        <f t="shared" si="2"/>
        <v>56080.090000000026</v>
      </c>
      <c r="G17" s="41">
        <f t="shared" si="2"/>
        <v>95999.1</v>
      </c>
      <c r="H17" s="41">
        <f t="shared" si="2"/>
        <v>103440.05000000003</v>
      </c>
      <c r="I17" s="41">
        <f t="shared" si="2"/>
        <v>-48339.01999999999</v>
      </c>
      <c r="J17" s="41">
        <f t="shared" si="2"/>
        <v>87862.37000000001</v>
      </c>
      <c r="K17" s="41">
        <f t="shared" si="2"/>
        <v>124097.56</v>
      </c>
      <c r="L17" s="41">
        <f t="shared" si="2"/>
        <v>64013.16</v>
      </c>
      <c r="M17" s="41">
        <f t="shared" si="2"/>
        <v>174098.2</v>
      </c>
      <c r="N17" s="41">
        <f t="shared" si="2"/>
        <v>65880.770000000019</v>
      </c>
      <c r="O17" s="41">
        <f t="shared" si="2"/>
        <v>114683.44000000002</v>
      </c>
      <c r="P17" s="41">
        <f t="shared" si="2"/>
        <v>95684.840000000026</v>
      </c>
      <c r="Q17" s="41">
        <f t="shared" si="2"/>
        <v>74748.470000000016</v>
      </c>
      <c r="R17" s="41">
        <f t="shared" si="2"/>
        <v>1211426.9499999997</v>
      </c>
    </row>
    <row r="19" spans="2:18" x14ac:dyDescent="0.3">
      <c r="B19" s="46" t="s">
        <v>214</v>
      </c>
      <c r="C19" s="47"/>
      <c r="D19" s="47"/>
      <c r="E19" s="47"/>
      <c r="F19" s="47"/>
      <c r="G19" s="47"/>
      <c r="H19" s="47"/>
      <c r="I19" s="47"/>
      <c r="J19" s="47"/>
      <c r="K19" s="47"/>
      <c r="L19" s="47"/>
      <c r="M19" s="47"/>
      <c r="N19" s="47"/>
      <c r="O19" s="47"/>
      <c r="P19" s="47"/>
      <c r="Q19" s="47"/>
      <c r="R19" s="47"/>
    </row>
    <row r="20" spans="2:18" x14ac:dyDescent="0.3">
      <c r="B20" s="48" t="s">
        <v>214</v>
      </c>
      <c r="C20" s="136">
        <f>SUMIFS('IS GL Summary'!$F:$F,'IS GL Summary'!$G:$G,"Sales &amp; Marketing",'IS GL Summary'!$B:$B,DATE(2025,1,31))</f>
        <v>0</v>
      </c>
      <c r="D20" s="136">
        <f>SUMIFS('IS GL Summary'!$F:$F,'IS GL Summary'!$G:$G,"Sales &amp; Marketing",'IS GL Summary'!$B:$B,DATE(2025,2,28))</f>
        <v>0</v>
      </c>
      <c r="E20" s="136">
        <f>SUMIFS('IS GL Summary'!$F:$F,'IS GL Summary'!$G:$G,"Sales &amp; Marketing",'IS GL Summary'!$B:$B,DATE(2025,3,31))</f>
        <v>0</v>
      </c>
      <c r="F20" s="136">
        <f>SUMIFS('IS GL Summary'!$F:$F,'IS GL Summary'!$G:$G,"Sales &amp; Marketing",'IS GL Summary'!$B:$B,DATE(2025,4,30))</f>
        <v>0</v>
      </c>
      <c r="G20" s="136">
        <f>SUMIFS('IS GL Summary'!$F:$F,'IS GL Summary'!$G:$G,"Sales &amp; Marketing",'IS GL Summary'!$B:$B,DATE(2025,5,31))</f>
        <v>0</v>
      </c>
      <c r="H20" s="136">
        <f>SUMIFS('IS GL Summary'!$F:$F,'IS GL Summary'!$G:$G,"Sales &amp; Marketing",'IS GL Summary'!$B:$B,DATE(2025,6,30))</f>
        <v>0</v>
      </c>
      <c r="I20" s="136">
        <f>SUMIFS('IS GL Summary'!$F:$F,'IS GL Summary'!$G:$G,"Sales &amp; Marketing",'IS GL Summary'!$B:$B,DATE(2025,7,31))</f>
        <v>0</v>
      </c>
      <c r="J20" s="136">
        <f>SUMIFS('IS GL Summary'!$F:$F,'IS GL Summary'!$G:$G,"Sales &amp; Marketing",'IS GL Summary'!$B:$B,DATE(2025,8,31))</f>
        <v>0</v>
      </c>
      <c r="K20" s="136">
        <f>SUMIFS('IS GL Summary'!$F:$F,'IS GL Summary'!$G:$G,"Sales &amp; Marketing",'IS GL Summary'!$B:$B,DATE(2025,9,30))</f>
        <v>0</v>
      </c>
      <c r="L20" s="136">
        <f>SUMIFS('IS GL Summary'!$F:$F,'IS GL Summary'!$G:$G,"Sales &amp; Marketing",'IS GL Summary'!$B:$B,DATE(2025,10,31))</f>
        <v>0</v>
      </c>
      <c r="M20" s="136">
        <f>SUMIFS('IS GL Summary'!$F:$F,'IS GL Summary'!$G:$G,"Sales &amp; Marketing",'IS GL Summary'!$B:$B,DATE(2025,11,30))</f>
        <v>0</v>
      </c>
      <c r="N20" s="136">
        <f>SUMIFS('IS GL Summary'!$F:$F,'IS GL Summary'!$G:$G,"Sales &amp; Marketing",'IS GL Summary'!$B:$B,DATE(2025,12,31))</f>
        <v>0</v>
      </c>
      <c r="O20" s="136">
        <f>SUMIFS('IS GL Summary'!$F:$F,'IS GL Summary'!$G:$G,"Sales &amp; Marketing",'IS GL Summary'!$B:$B,DATE(2026,1,31))</f>
        <v>0</v>
      </c>
      <c r="P20" s="136">
        <f>SUMIFS('IS GL Summary'!$F:$F,'IS GL Summary'!$G:$G,"Sales &amp; Marketing",'IS GL Summary'!$B:$B,DATE(2026,2,28))</f>
        <v>0</v>
      </c>
      <c r="Q20" s="136">
        <f>SUMIFS('IS GL Summary'!$F:$F,'IS GL Summary'!$G:$G,"Sales &amp; Marketing",'IS GL Summary'!$B:$B,DATE(2026,3,31))</f>
        <v>0</v>
      </c>
      <c r="R20" s="40">
        <f>SUM(C20:Q20)</f>
        <v>0</v>
      </c>
    </row>
    <row r="21" spans="2:18" x14ac:dyDescent="0.3">
      <c r="B21" s="37" t="s">
        <v>215</v>
      </c>
      <c r="C21" s="49">
        <f t="shared" ref="C21:R21" si="3">C20</f>
        <v>0</v>
      </c>
      <c r="D21" s="49">
        <f t="shared" si="3"/>
        <v>0</v>
      </c>
      <c r="E21" s="49">
        <f t="shared" si="3"/>
        <v>0</v>
      </c>
      <c r="F21" s="49">
        <f t="shared" si="3"/>
        <v>0</v>
      </c>
      <c r="G21" s="49">
        <f t="shared" si="3"/>
        <v>0</v>
      </c>
      <c r="H21" s="49">
        <f t="shared" si="3"/>
        <v>0</v>
      </c>
      <c r="I21" s="49">
        <f t="shared" si="3"/>
        <v>0</v>
      </c>
      <c r="J21" s="49">
        <f t="shared" si="3"/>
        <v>0</v>
      </c>
      <c r="K21" s="49">
        <f t="shared" si="3"/>
        <v>0</v>
      </c>
      <c r="L21" s="49">
        <f t="shared" si="3"/>
        <v>0</v>
      </c>
      <c r="M21" s="49">
        <f t="shared" si="3"/>
        <v>0</v>
      </c>
      <c r="N21" s="49">
        <f t="shared" si="3"/>
        <v>0</v>
      </c>
      <c r="O21" s="49">
        <f t="shared" si="3"/>
        <v>0</v>
      </c>
      <c r="P21" s="49">
        <f t="shared" si="3"/>
        <v>0</v>
      </c>
      <c r="Q21" s="49">
        <f t="shared" si="3"/>
        <v>0</v>
      </c>
      <c r="R21" s="49">
        <f t="shared" si="3"/>
        <v>0</v>
      </c>
    </row>
    <row r="23" spans="2:18" x14ac:dyDescent="0.3">
      <c r="B23" s="37" t="s">
        <v>228</v>
      </c>
      <c r="C23" s="41">
        <f t="shared" ref="C23:R23" si="4">+C17-C21</f>
        <v>-12467.210000000021</v>
      </c>
      <c r="D23" s="41">
        <f t="shared" si="4"/>
        <v>90544.69</v>
      </c>
      <c r="E23" s="41">
        <f t="shared" si="4"/>
        <v>125100.44</v>
      </c>
      <c r="F23" s="41">
        <f t="shared" si="4"/>
        <v>56080.090000000026</v>
      </c>
      <c r="G23" s="41">
        <f t="shared" si="4"/>
        <v>95999.1</v>
      </c>
      <c r="H23" s="41">
        <f t="shared" si="4"/>
        <v>103440.05000000003</v>
      </c>
      <c r="I23" s="41">
        <f t="shared" si="4"/>
        <v>-48339.01999999999</v>
      </c>
      <c r="J23" s="41">
        <f t="shared" si="4"/>
        <v>87862.37000000001</v>
      </c>
      <c r="K23" s="41">
        <f t="shared" si="4"/>
        <v>124097.56</v>
      </c>
      <c r="L23" s="41">
        <f t="shared" si="4"/>
        <v>64013.16</v>
      </c>
      <c r="M23" s="41">
        <f t="shared" si="4"/>
        <v>174098.2</v>
      </c>
      <c r="N23" s="41">
        <f t="shared" si="4"/>
        <v>65880.770000000019</v>
      </c>
      <c r="O23" s="41">
        <f t="shared" si="4"/>
        <v>114683.44000000002</v>
      </c>
      <c r="P23" s="41">
        <f t="shared" si="4"/>
        <v>95684.840000000026</v>
      </c>
      <c r="Q23" s="41">
        <f t="shared" si="4"/>
        <v>74748.470000000016</v>
      </c>
      <c r="R23" s="41">
        <f t="shared" si="4"/>
        <v>1211426.9499999997</v>
      </c>
    </row>
    <row r="25" spans="2:18" x14ac:dyDescent="0.3">
      <c r="B25" s="46" t="s">
        <v>216</v>
      </c>
      <c r="C25" s="47"/>
      <c r="D25" s="47"/>
      <c r="E25" s="47"/>
      <c r="F25" s="47"/>
      <c r="G25" s="47"/>
      <c r="H25" s="47"/>
      <c r="I25" s="47"/>
      <c r="J25" s="47"/>
      <c r="K25" s="47"/>
      <c r="L25" s="47"/>
      <c r="M25" s="47"/>
      <c r="N25" s="47"/>
      <c r="O25" s="47"/>
      <c r="P25" s="47"/>
      <c r="Q25" s="47"/>
      <c r="R25" s="47"/>
    </row>
    <row r="26" spans="2:18" x14ac:dyDescent="0.3">
      <c r="B26" s="48" t="s">
        <v>217</v>
      </c>
      <c r="C26" s="136">
        <f>SUMIFS('IS GL Summary'!$F:$F,'IS GL Summary'!$G:$G,"Other G&amp;A",'IS GL Summary'!$B:$B,DATE(2025,1,31))</f>
        <v>1428.48</v>
      </c>
      <c r="D26" s="136">
        <f>SUMIFS('IS GL Summary'!$F:$F,'IS GL Summary'!$G:$G,"Other G&amp;A",'IS GL Summary'!$B:$B,DATE(2025,2,28))</f>
        <v>767.87</v>
      </c>
      <c r="E26" s="136">
        <f>SUMIFS('IS GL Summary'!$F:$F,'IS GL Summary'!$G:$G,"Other G&amp;A",'IS GL Summary'!$B:$B,DATE(2025,3,31))</f>
        <v>1353.6</v>
      </c>
      <c r="F26" s="136">
        <f>SUMIFS('IS GL Summary'!$F:$F,'IS GL Summary'!$G:$G,"Other G&amp;A",'IS GL Summary'!$B:$B,DATE(2025,4,30))</f>
        <v>789.34999999999991</v>
      </c>
      <c r="G26" s="136">
        <f>SUMIFS('IS GL Summary'!$F:$F,'IS GL Summary'!$G:$G,"Other G&amp;A",'IS GL Summary'!$B:$B,DATE(2025,5,31))</f>
        <v>4258.25</v>
      </c>
      <c r="H26" s="136">
        <f>SUMIFS('IS GL Summary'!$F:$F,'IS GL Summary'!$G:$G,"Other G&amp;A",'IS GL Summary'!$B:$B,DATE(2025,6,30))</f>
        <v>1280.98</v>
      </c>
      <c r="I26" s="136">
        <f>SUMIFS('IS GL Summary'!$F:$F,'IS GL Summary'!$G:$G,"Other G&amp;A",'IS GL Summary'!$B:$B,DATE(2025,7,31))</f>
        <v>851</v>
      </c>
      <c r="J26" s="136">
        <f>SUMIFS('IS GL Summary'!$F:$F,'IS GL Summary'!$G:$G,"Other G&amp;A",'IS GL Summary'!$B:$B,DATE(2025,8,31))</f>
        <v>795.22</v>
      </c>
      <c r="K26" s="136">
        <f>SUMIFS('IS GL Summary'!$F:$F,'IS GL Summary'!$G:$G,"Other G&amp;A",'IS GL Summary'!$B:$B,DATE(2025,9,30))</f>
        <v>1056.27</v>
      </c>
      <c r="L26" s="136">
        <f>SUMIFS('IS GL Summary'!$F:$F,'IS GL Summary'!$G:$G,"Other G&amp;A",'IS GL Summary'!$B:$B,DATE(2025,10,31))</f>
        <v>2200.5300000000002</v>
      </c>
      <c r="M26" s="136">
        <f>SUMIFS('IS GL Summary'!$F:$F,'IS GL Summary'!$G:$G,"Other G&amp;A",'IS GL Summary'!$B:$B,DATE(2025,11,30))</f>
        <v>3394.3399999999997</v>
      </c>
      <c r="N26" s="136">
        <f>SUMIFS('IS GL Summary'!$F:$F,'IS GL Summary'!$G:$G,"Other G&amp;A",'IS GL Summary'!$B:$B,DATE(2025,12,31))</f>
        <v>10845.240000000002</v>
      </c>
      <c r="O26" s="136">
        <f>SUMIFS('IS GL Summary'!$F:$F,'IS GL Summary'!$G:$G,"Other G&amp;A",'IS GL Summary'!$B:$B,DATE(2026,1,31))</f>
        <v>1746.06</v>
      </c>
      <c r="P26" s="136">
        <f>SUMIFS('IS GL Summary'!$F:$F,'IS GL Summary'!$G:$G,"Other G&amp;A",'IS GL Summary'!$B:$B,DATE(2026,2,28))</f>
        <v>130.89999999999998</v>
      </c>
      <c r="Q26" s="136">
        <f>SUMIFS('IS GL Summary'!$F:$F,'IS GL Summary'!$G:$G,"Other G&amp;A",'IS GL Summary'!$B:$B,DATE(2026,3,31))</f>
        <v>1256.25</v>
      </c>
      <c r="R26" s="40">
        <f t="shared" ref="R26:R36" si="5">SUM(C26:Q26)</f>
        <v>32154.340000000004</v>
      </c>
    </row>
    <row r="27" spans="2:18" x14ac:dyDescent="0.3">
      <c r="B27" s="48" t="s">
        <v>218</v>
      </c>
      <c r="C27" s="136">
        <f>SUMIFS('IS GL Summary'!$F:$F,'IS GL Summary'!$G:$G,"G&amp;A Payroll",'IS GL Summary'!$B:$B,DATE(2025,1,31))</f>
        <v>62493.909999999996</v>
      </c>
      <c r="D27" s="136">
        <f>SUMIFS('IS GL Summary'!$F:$F,'IS GL Summary'!$G:$G,"G&amp;A Payroll",'IS GL Summary'!$B:$B,DATE(2025,2,28))</f>
        <v>46978.99</v>
      </c>
      <c r="E27" s="136">
        <f>SUMIFS('IS GL Summary'!$F:$F,'IS GL Summary'!$G:$G,"G&amp;A Payroll",'IS GL Summary'!$B:$B,DATE(2025,3,31))</f>
        <v>45023.729999999996</v>
      </c>
      <c r="F27" s="136">
        <f>SUMIFS('IS GL Summary'!$F:$F,'IS GL Summary'!$G:$G,"G&amp;A Payroll",'IS GL Summary'!$B:$B,DATE(2025,4,30))</f>
        <v>41858.720000000001</v>
      </c>
      <c r="G27" s="136">
        <f>SUMIFS('IS GL Summary'!$F:$F,'IS GL Summary'!$G:$G,"G&amp;A Payroll",'IS GL Summary'!$B:$B,DATE(2025,5,31))</f>
        <v>46540.219999999994</v>
      </c>
      <c r="H27" s="136">
        <f>SUMIFS('IS GL Summary'!$F:$F,'IS GL Summary'!$G:$G,"G&amp;A Payroll",'IS GL Summary'!$B:$B,DATE(2025,6,30))</f>
        <v>44965.789999999994</v>
      </c>
      <c r="I27" s="136">
        <f>SUMIFS('IS GL Summary'!$F:$F,'IS GL Summary'!$G:$G,"G&amp;A Payroll",'IS GL Summary'!$B:$B,DATE(2025,7,31))</f>
        <v>43856.87</v>
      </c>
      <c r="J27" s="136">
        <f>SUMIFS('IS GL Summary'!$F:$F,'IS GL Summary'!$G:$G,"G&amp;A Payroll",'IS GL Summary'!$B:$B,DATE(2025,8,31))</f>
        <v>57493.17</v>
      </c>
      <c r="K27" s="136">
        <f>SUMIFS('IS GL Summary'!$F:$F,'IS GL Summary'!$G:$G,"G&amp;A Payroll",'IS GL Summary'!$B:$B,DATE(2025,9,30))</f>
        <v>44566.689999999995</v>
      </c>
      <c r="L27" s="136">
        <f>SUMIFS('IS GL Summary'!$F:$F,'IS GL Summary'!$G:$G,"G&amp;A Payroll",'IS GL Summary'!$B:$B,DATE(2025,10,31))</f>
        <v>41091.949999999997</v>
      </c>
      <c r="M27" s="136">
        <f>SUMIFS('IS GL Summary'!$F:$F,'IS GL Summary'!$G:$G,"G&amp;A Payroll",'IS GL Summary'!$B:$B,DATE(2025,11,30))</f>
        <v>41624.76</v>
      </c>
      <c r="N27" s="136">
        <f>SUMIFS('IS GL Summary'!$F:$F,'IS GL Summary'!$G:$G,"G&amp;A Payroll",'IS GL Summary'!$B:$B,DATE(2025,12,31))</f>
        <v>42601.770000000004</v>
      </c>
      <c r="O27" s="136">
        <f>SUMIFS('IS GL Summary'!$F:$F,'IS GL Summary'!$G:$G,"G&amp;A Payroll",'IS GL Summary'!$B:$B,DATE(2026,1,31))</f>
        <v>53915.199999999997</v>
      </c>
      <c r="P27" s="136">
        <f>SUMIFS('IS GL Summary'!$F:$F,'IS GL Summary'!$G:$G,"G&amp;A Payroll",'IS GL Summary'!$B:$B,DATE(2026,2,28))</f>
        <v>56149.66</v>
      </c>
      <c r="Q27" s="136">
        <f>SUMIFS('IS GL Summary'!$F:$F,'IS GL Summary'!$G:$G,"G&amp;A Payroll",'IS GL Summary'!$B:$B,DATE(2026,3,31))</f>
        <v>55506.25</v>
      </c>
      <c r="R27" s="40">
        <f t="shared" si="5"/>
        <v>724667.67999999993</v>
      </c>
    </row>
    <row r="28" spans="2:18" x14ac:dyDescent="0.3">
      <c r="B28" s="48" t="s">
        <v>219</v>
      </c>
      <c r="C28" s="136">
        <f>SUMIFS('IS GL Summary'!$F:$F,'IS GL Summary'!$G:$G,"Professional Fees",'IS GL Summary'!$B:$B,DATE(2025,1,31))</f>
        <v>1473.31</v>
      </c>
      <c r="D28" s="136">
        <f>SUMIFS('IS GL Summary'!$F:$F,'IS GL Summary'!$G:$G,"Professional Fees",'IS GL Summary'!$B:$B,DATE(2025,2,28))</f>
        <v>4165.8600000000006</v>
      </c>
      <c r="E28" s="136">
        <f>SUMIFS('IS GL Summary'!$F:$F,'IS GL Summary'!$G:$G,"Professional Fees",'IS GL Summary'!$B:$B,DATE(2025,3,31))</f>
        <v>2142.4700000000003</v>
      </c>
      <c r="F28" s="136">
        <f>SUMIFS('IS GL Summary'!$F:$F,'IS GL Summary'!$G:$G,"Professional Fees",'IS GL Summary'!$B:$B,DATE(2025,4,30))</f>
        <v>2447.35</v>
      </c>
      <c r="G28" s="136">
        <f>SUMIFS('IS GL Summary'!$F:$F,'IS GL Summary'!$G:$G,"Professional Fees",'IS GL Summary'!$B:$B,DATE(2025,5,31))</f>
        <v>14099.68</v>
      </c>
      <c r="H28" s="136">
        <f>SUMIFS('IS GL Summary'!$F:$F,'IS GL Summary'!$G:$G,"Professional Fees",'IS GL Summary'!$B:$B,DATE(2025,6,30))</f>
        <v>9783.5300000000007</v>
      </c>
      <c r="I28" s="136">
        <f>SUMIFS('IS GL Summary'!$F:$F,'IS GL Summary'!$G:$G,"Professional Fees",'IS GL Summary'!$B:$B,DATE(2025,7,31))</f>
        <v>18132.449999999997</v>
      </c>
      <c r="J28" s="136">
        <f>SUMIFS('IS GL Summary'!$F:$F,'IS GL Summary'!$G:$G,"Professional Fees",'IS GL Summary'!$B:$B,DATE(2025,8,31))</f>
        <v>10899.210000000001</v>
      </c>
      <c r="K28" s="136">
        <f>SUMIFS('IS GL Summary'!$F:$F,'IS GL Summary'!$G:$G,"Professional Fees",'IS GL Summary'!$B:$B,DATE(2025,9,30))</f>
        <v>5099.26</v>
      </c>
      <c r="L28" s="136">
        <f>SUMIFS('IS GL Summary'!$F:$F,'IS GL Summary'!$G:$G,"Professional Fees",'IS GL Summary'!$B:$B,DATE(2025,10,31))</f>
        <v>6781.76</v>
      </c>
      <c r="M28" s="136">
        <f>SUMIFS('IS GL Summary'!$F:$F,'IS GL Summary'!$G:$G,"Professional Fees",'IS GL Summary'!$B:$B,DATE(2025,11,30))</f>
        <v>36571.93</v>
      </c>
      <c r="N28" s="136">
        <f>SUMIFS('IS GL Summary'!$F:$F,'IS GL Summary'!$G:$G,"Professional Fees",'IS GL Summary'!$B:$B,DATE(2025,12,31))</f>
        <v>32555.24</v>
      </c>
      <c r="O28" s="136">
        <f>SUMIFS('IS GL Summary'!$F:$F,'IS GL Summary'!$G:$G,"Professional Fees",'IS GL Summary'!$B:$B,DATE(2026,1,31))</f>
        <v>33108.35</v>
      </c>
      <c r="P28" s="136">
        <f>SUMIFS('IS GL Summary'!$F:$F,'IS GL Summary'!$G:$G,"Professional Fees",'IS GL Summary'!$B:$B,DATE(2026,2,28))</f>
        <v>11503.43</v>
      </c>
      <c r="Q28" s="136">
        <f>SUMIFS('IS GL Summary'!$F:$F,'IS GL Summary'!$G:$G,"Professional Fees",'IS GL Summary'!$B:$B,DATE(2026,3,31))</f>
        <v>13385.699999999999</v>
      </c>
      <c r="R28" s="40">
        <f t="shared" si="5"/>
        <v>202149.53</v>
      </c>
    </row>
    <row r="29" spans="2:18" x14ac:dyDescent="0.3">
      <c r="B29" s="48" t="s">
        <v>220</v>
      </c>
      <c r="C29" s="136">
        <f>SUMIFS('IS GL Summary'!$F:$F,'IS GL Summary'!$G:$G,"MT&amp;E",'IS GL Summary'!$B:$B,DATE(2025,1,31))</f>
        <v>2133.58</v>
      </c>
      <c r="D29" s="136">
        <f>SUMIFS('IS GL Summary'!$F:$F,'IS GL Summary'!$G:$G,"MT&amp;E",'IS GL Summary'!$B:$B,DATE(2025,2,28))</f>
        <v>3608.27</v>
      </c>
      <c r="E29" s="136">
        <f>SUMIFS('IS GL Summary'!$F:$F,'IS GL Summary'!$G:$G,"MT&amp;E",'IS GL Summary'!$B:$B,DATE(2025,3,31))</f>
        <v>1885.3899999999999</v>
      </c>
      <c r="F29" s="136">
        <f>SUMIFS('IS GL Summary'!$F:$F,'IS GL Summary'!$G:$G,"MT&amp;E",'IS GL Summary'!$B:$B,DATE(2025,4,30))</f>
        <v>311</v>
      </c>
      <c r="G29" s="136">
        <f>SUMIFS('IS GL Summary'!$F:$F,'IS GL Summary'!$G:$G,"MT&amp;E",'IS GL Summary'!$B:$B,DATE(2025,5,31))</f>
        <v>2996.99</v>
      </c>
      <c r="H29" s="136">
        <f>SUMIFS('IS GL Summary'!$F:$F,'IS GL Summary'!$G:$G,"MT&amp;E",'IS GL Summary'!$B:$B,DATE(2025,6,30))</f>
        <v>-90.7</v>
      </c>
      <c r="I29" s="136">
        <f>SUMIFS('IS GL Summary'!$F:$F,'IS GL Summary'!$G:$G,"MT&amp;E",'IS GL Summary'!$B:$B,DATE(2025,7,31))</f>
        <v>59.95</v>
      </c>
      <c r="J29" s="136">
        <f>SUMIFS('IS GL Summary'!$F:$F,'IS GL Summary'!$G:$G,"MT&amp;E",'IS GL Summary'!$B:$B,DATE(2025,8,31))</f>
        <v>74.94</v>
      </c>
      <c r="K29" s="136">
        <f>SUMIFS('IS GL Summary'!$F:$F,'IS GL Summary'!$G:$G,"MT&amp;E",'IS GL Summary'!$B:$B,DATE(2025,9,30))</f>
        <v>70.289999999999992</v>
      </c>
      <c r="L29" s="136">
        <f>SUMIFS('IS GL Summary'!$F:$F,'IS GL Summary'!$G:$G,"MT&amp;E",'IS GL Summary'!$B:$B,DATE(2025,10,31))</f>
        <v>6466.5199999999995</v>
      </c>
      <c r="M29" s="136">
        <f>SUMIFS('IS GL Summary'!$F:$F,'IS GL Summary'!$G:$G,"MT&amp;E",'IS GL Summary'!$B:$B,DATE(2025,11,30))</f>
        <v>50</v>
      </c>
      <c r="N29" s="136">
        <f>SUMIFS('IS GL Summary'!$F:$F,'IS GL Summary'!$G:$G,"MT&amp;E",'IS GL Summary'!$B:$B,DATE(2025,12,31))</f>
        <v>0</v>
      </c>
      <c r="O29" s="136">
        <f>SUMIFS('IS GL Summary'!$F:$F,'IS GL Summary'!$G:$G,"MT&amp;E",'IS GL Summary'!$B:$B,DATE(2026,1,31))</f>
        <v>0</v>
      </c>
      <c r="P29" s="136">
        <f>SUMIFS('IS GL Summary'!$F:$F,'IS GL Summary'!$G:$G,"MT&amp;E",'IS GL Summary'!$B:$B,DATE(2026,2,28))</f>
        <v>0</v>
      </c>
      <c r="Q29" s="136">
        <f>SUMIFS('IS GL Summary'!$F:$F,'IS GL Summary'!$G:$G,"MT&amp;E",'IS GL Summary'!$B:$B,DATE(2026,3,31))</f>
        <v>28.88</v>
      </c>
      <c r="R29" s="40">
        <f t="shared" si="5"/>
        <v>17595.11</v>
      </c>
    </row>
    <row r="30" spans="2:18" x14ac:dyDescent="0.3">
      <c r="B30" s="48" t="s">
        <v>221</v>
      </c>
      <c r="C30" s="136">
        <f>SUMIFS('IS GL Summary'!$F:$F,'IS GL Summary'!$G:$G,"Site Maintenance",'IS GL Summary'!$B:$B,DATE(2025,1,31))</f>
        <v>0</v>
      </c>
      <c r="D30" s="136">
        <f>SUMIFS('IS GL Summary'!$F:$F,'IS GL Summary'!$G:$G,"Site Maintenance",'IS GL Summary'!$B:$B,DATE(2025,2,28))</f>
        <v>0</v>
      </c>
      <c r="E30" s="136">
        <f>SUMIFS('IS GL Summary'!$F:$F,'IS GL Summary'!$G:$G,"Site Maintenance",'IS GL Summary'!$B:$B,DATE(2025,3,31))</f>
        <v>0</v>
      </c>
      <c r="F30" s="136">
        <f>SUMIFS('IS GL Summary'!$F:$F,'IS GL Summary'!$G:$G,"Site Maintenance",'IS GL Summary'!$B:$B,DATE(2025,4,30))</f>
        <v>2189.71</v>
      </c>
      <c r="G30" s="136">
        <f>SUMIFS('IS GL Summary'!$F:$F,'IS GL Summary'!$G:$G,"Site Maintenance",'IS GL Summary'!$B:$B,DATE(2025,5,31))</f>
        <v>95.35</v>
      </c>
      <c r="H30" s="136">
        <f>SUMIFS('IS GL Summary'!$F:$F,'IS GL Summary'!$G:$G,"Site Maintenance",'IS GL Summary'!$B:$B,DATE(2025,6,30))</f>
        <v>0</v>
      </c>
      <c r="I30" s="136">
        <f>SUMIFS('IS GL Summary'!$F:$F,'IS GL Summary'!$G:$G,"Site Maintenance",'IS GL Summary'!$B:$B,DATE(2025,7,31))</f>
        <v>1294.92</v>
      </c>
      <c r="J30" s="136">
        <f>SUMIFS('IS GL Summary'!$F:$F,'IS GL Summary'!$G:$G,"Site Maintenance",'IS GL Summary'!$B:$B,DATE(2025,8,31))</f>
        <v>2086.75</v>
      </c>
      <c r="K30" s="136">
        <f>SUMIFS('IS GL Summary'!$F:$F,'IS GL Summary'!$G:$G,"Site Maintenance",'IS GL Summary'!$B:$B,DATE(2025,9,30))</f>
        <v>1685.37</v>
      </c>
      <c r="L30" s="136">
        <f>SUMIFS('IS GL Summary'!$F:$F,'IS GL Summary'!$G:$G,"Site Maintenance",'IS GL Summary'!$B:$B,DATE(2025,10,31))</f>
        <v>2303.81</v>
      </c>
      <c r="M30" s="136">
        <f>SUMIFS('IS GL Summary'!$F:$F,'IS GL Summary'!$G:$G,"Site Maintenance",'IS GL Summary'!$B:$B,DATE(2025,11,30))</f>
        <v>0</v>
      </c>
      <c r="N30" s="136">
        <f>SUMIFS('IS GL Summary'!$F:$F,'IS GL Summary'!$G:$G,"Site Maintenance",'IS GL Summary'!$B:$B,DATE(2025,12,31))</f>
        <v>1856.1499999999999</v>
      </c>
      <c r="O30" s="136">
        <f>SUMIFS('IS GL Summary'!$F:$F,'IS GL Summary'!$G:$G,"Site Maintenance",'IS GL Summary'!$B:$B,DATE(2026,1,31))</f>
        <v>1439.86</v>
      </c>
      <c r="P30" s="136">
        <f>SUMIFS('IS GL Summary'!$F:$F,'IS GL Summary'!$G:$G,"Site Maintenance",'IS GL Summary'!$B:$B,DATE(2026,2,28))</f>
        <v>1072.21</v>
      </c>
      <c r="Q30" s="136">
        <f>SUMIFS('IS GL Summary'!$F:$F,'IS GL Summary'!$G:$G,"Site Maintenance",'IS GL Summary'!$B:$B,DATE(2026,3,31))</f>
        <v>697.38000000000011</v>
      </c>
      <c r="R30" s="40">
        <f t="shared" si="5"/>
        <v>14721.510000000002</v>
      </c>
    </row>
    <row r="31" spans="2:18" x14ac:dyDescent="0.3">
      <c r="B31" s="48" t="s">
        <v>222</v>
      </c>
      <c r="C31" s="136">
        <f>SUMIFS('IS GL Summary'!$F:$F,'IS GL Summary'!$G:$G,"Business Development",'IS GL Summary'!$B:$B,DATE(2025,1,31))</f>
        <v>1843.89</v>
      </c>
      <c r="D31" s="136">
        <f>SUMIFS('IS GL Summary'!$F:$F,'IS GL Summary'!$G:$G,"Business Development",'IS GL Summary'!$B:$B,DATE(2025,2,28))</f>
        <v>2169.7399999999998</v>
      </c>
      <c r="E31" s="136">
        <f>SUMIFS('IS GL Summary'!$F:$F,'IS GL Summary'!$G:$G,"Business Development",'IS GL Summary'!$B:$B,DATE(2025,3,31))</f>
        <v>939.81999999999994</v>
      </c>
      <c r="F31" s="136">
        <f>SUMIFS('IS GL Summary'!$F:$F,'IS GL Summary'!$G:$G,"Business Development",'IS GL Summary'!$B:$B,DATE(2025,4,30))</f>
        <v>1457.42</v>
      </c>
      <c r="G31" s="136">
        <f>SUMIFS('IS GL Summary'!$F:$F,'IS GL Summary'!$G:$G,"Business Development",'IS GL Summary'!$B:$B,DATE(2025,5,31))</f>
        <v>400.72</v>
      </c>
      <c r="H31" s="136">
        <f>SUMIFS('IS GL Summary'!$F:$F,'IS GL Summary'!$G:$G,"Business Development",'IS GL Summary'!$B:$B,DATE(2025,6,30))</f>
        <v>8738.75</v>
      </c>
      <c r="I31" s="136">
        <f>SUMIFS('IS GL Summary'!$F:$F,'IS GL Summary'!$G:$G,"Business Development",'IS GL Summary'!$B:$B,DATE(2025,7,31))</f>
        <v>3267.6500000000005</v>
      </c>
      <c r="J31" s="136">
        <f>SUMIFS('IS GL Summary'!$F:$F,'IS GL Summary'!$G:$G,"Business Development",'IS GL Summary'!$B:$B,DATE(2025,8,31))</f>
        <v>900.92000000000007</v>
      </c>
      <c r="K31" s="136">
        <f>SUMIFS('IS GL Summary'!$F:$F,'IS GL Summary'!$G:$G,"Business Development",'IS GL Summary'!$B:$B,DATE(2025,9,30))</f>
        <v>1531.07</v>
      </c>
      <c r="L31" s="136">
        <f>SUMIFS('IS GL Summary'!$F:$F,'IS GL Summary'!$G:$G,"Business Development",'IS GL Summary'!$B:$B,DATE(2025,10,31))</f>
        <v>1035.94</v>
      </c>
      <c r="M31" s="136">
        <f>SUMIFS('IS GL Summary'!$F:$F,'IS GL Summary'!$G:$G,"Business Development",'IS GL Summary'!$B:$B,DATE(2025,11,30))</f>
        <v>1717.17</v>
      </c>
      <c r="N31" s="136">
        <f>SUMIFS('IS GL Summary'!$F:$F,'IS GL Summary'!$G:$G,"Business Development",'IS GL Summary'!$B:$B,DATE(2025,12,31))</f>
        <v>362</v>
      </c>
      <c r="O31" s="136">
        <f>SUMIFS('IS GL Summary'!$F:$F,'IS GL Summary'!$G:$G,"Business Development",'IS GL Summary'!$B:$B,DATE(2026,1,31))</f>
        <v>260</v>
      </c>
      <c r="P31" s="136">
        <f>SUMIFS('IS GL Summary'!$F:$F,'IS GL Summary'!$G:$G,"Business Development",'IS GL Summary'!$B:$B,DATE(2026,2,28))</f>
        <v>6174.8600000000006</v>
      </c>
      <c r="Q31" s="136">
        <f>SUMIFS('IS GL Summary'!$F:$F,'IS GL Summary'!$G:$G,"Business Development",'IS GL Summary'!$B:$B,DATE(2026,3,31))</f>
        <v>4403.2299999999996</v>
      </c>
      <c r="R31" s="40">
        <f t="shared" si="5"/>
        <v>35203.180000000008</v>
      </c>
    </row>
    <row r="32" spans="2:18" x14ac:dyDescent="0.3">
      <c r="B32" s="48" t="s">
        <v>126</v>
      </c>
      <c r="C32" s="136">
        <f>SUMIFS('IS GL Summary'!$F:$F,'IS GL Summary'!$G:$G,"Software",'IS GL Summary'!$B:$B,DATE(2025,1,31))</f>
        <v>729.80000000000007</v>
      </c>
      <c r="D32" s="136">
        <f>SUMIFS('IS GL Summary'!$F:$F,'IS GL Summary'!$G:$G,"Software",'IS GL Summary'!$B:$B,DATE(2025,2,28))</f>
        <v>355.23</v>
      </c>
      <c r="E32" s="136">
        <f>SUMIFS('IS GL Summary'!$F:$F,'IS GL Summary'!$G:$G,"Software",'IS GL Summary'!$B:$B,DATE(2025,3,31))</f>
        <v>5632.45</v>
      </c>
      <c r="F32" s="136">
        <f>SUMIFS('IS GL Summary'!$F:$F,'IS GL Summary'!$G:$G,"Software",'IS GL Summary'!$B:$B,DATE(2025,4,30))</f>
        <v>538.52</v>
      </c>
      <c r="G32" s="136">
        <f>SUMIFS('IS GL Summary'!$F:$F,'IS GL Summary'!$G:$G,"Software",'IS GL Summary'!$B:$B,DATE(2025,5,31))</f>
        <v>1310.6299999999999</v>
      </c>
      <c r="H32" s="136">
        <f>SUMIFS('IS GL Summary'!$F:$F,'IS GL Summary'!$G:$G,"Software",'IS GL Summary'!$B:$B,DATE(2025,6,30))</f>
        <v>886.66000000000008</v>
      </c>
      <c r="I32" s="136">
        <f>SUMIFS('IS GL Summary'!$F:$F,'IS GL Summary'!$G:$G,"Software",'IS GL Summary'!$B:$B,DATE(2025,7,31))</f>
        <v>3060.92</v>
      </c>
      <c r="J32" s="136">
        <f>SUMIFS('IS GL Summary'!$F:$F,'IS GL Summary'!$G:$G,"Software",'IS GL Summary'!$B:$B,DATE(2025,8,31))</f>
        <v>4315.1000000000004</v>
      </c>
      <c r="K32" s="136">
        <f>SUMIFS('IS GL Summary'!$F:$F,'IS GL Summary'!$G:$G,"Software",'IS GL Summary'!$B:$B,DATE(2025,9,30))</f>
        <v>196.74999999999997</v>
      </c>
      <c r="L32" s="136">
        <f>SUMIFS('IS GL Summary'!$F:$F,'IS GL Summary'!$G:$G,"Software",'IS GL Summary'!$B:$B,DATE(2025,10,31))</f>
        <v>1390.07</v>
      </c>
      <c r="M32" s="136">
        <f>SUMIFS('IS GL Summary'!$F:$F,'IS GL Summary'!$G:$G,"Software",'IS GL Summary'!$B:$B,DATE(2025,11,30))</f>
        <v>2140.91</v>
      </c>
      <c r="N32" s="136">
        <f>SUMIFS('IS GL Summary'!$F:$F,'IS GL Summary'!$G:$G,"Software",'IS GL Summary'!$B:$B,DATE(2025,12,31))</f>
        <v>1846.24</v>
      </c>
      <c r="O32" s="136">
        <f>SUMIFS('IS GL Summary'!$F:$F,'IS GL Summary'!$G:$G,"Software",'IS GL Summary'!$B:$B,DATE(2026,1,31))</f>
        <v>1398.99</v>
      </c>
      <c r="P32" s="136">
        <f>SUMIFS('IS GL Summary'!$F:$F,'IS GL Summary'!$G:$G,"Software",'IS GL Summary'!$B:$B,DATE(2026,2,28))</f>
        <v>2711.4</v>
      </c>
      <c r="Q32" s="136">
        <f>SUMIFS('IS GL Summary'!$F:$F,'IS GL Summary'!$G:$G,"Software",'IS GL Summary'!$B:$B,DATE(2026,3,31))</f>
        <v>2490.19</v>
      </c>
      <c r="R32" s="40">
        <f t="shared" si="5"/>
        <v>29003.86</v>
      </c>
    </row>
    <row r="33" spans="2:18" x14ac:dyDescent="0.3">
      <c r="B33" s="48" t="s">
        <v>223</v>
      </c>
      <c r="C33" s="136">
        <f>SUMIFS('IS GL Summary'!$F:$F,'IS GL Summary'!$G:$G,"Insurance",'IS GL Summary'!$B:$B,DATE(2025,1,31))</f>
        <v>0</v>
      </c>
      <c r="D33" s="136">
        <f>SUMIFS('IS GL Summary'!$F:$F,'IS GL Summary'!$G:$G,"Insurance",'IS GL Summary'!$B:$B,DATE(2025,2,28))</f>
        <v>0</v>
      </c>
      <c r="E33" s="136">
        <f>SUMIFS('IS GL Summary'!$F:$F,'IS GL Summary'!$G:$G,"Insurance",'IS GL Summary'!$B:$B,DATE(2025,3,31))</f>
        <v>0</v>
      </c>
      <c r="F33" s="136">
        <f>SUMIFS('IS GL Summary'!$F:$F,'IS GL Summary'!$G:$G,"Insurance",'IS GL Summary'!$B:$B,DATE(2025,4,30))</f>
        <v>0</v>
      </c>
      <c r="G33" s="136">
        <f>SUMIFS('IS GL Summary'!$F:$F,'IS GL Summary'!$G:$G,"Insurance",'IS GL Summary'!$B:$B,DATE(2025,5,31))</f>
        <v>0</v>
      </c>
      <c r="H33" s="136">
        <f>SUMIFS('IS GL Summary'!$F:$F,'IS GL Summary'!$G:$G,"Insurance",'IS GL Summary'!$B:$B,DATE(2025,6,30))</f>
        <v>755.75</v>
      </c>
      <c r="I33" s="136">
        <f>SUMIFS('IS GL Summary'!$F:$F,'IS GL Summary'!$G:$G,"Insurance",'IS GL Summary'!$B:$B,DATE(2025,7,31))</f>
        <v>0</v>
      </c>
      <c r="J33" s="136">
        <f>SUMIFS('IS GL Summary'!$F:$F,'IS GL Summary'!$G:$G,"Insurance",'IS GL Summary'!$B:$B,DATE(2025,8,31))</f>
        <v>0</v>
      </c>
      <c r="K33" s="136">
        <f>SUMIFS('IS GL Summary'!$F:$F,'IS GL Summary'!$G:$G,"Insurance",'IS GL Summary'!$B:$B,DATE(2025,9,30))</f>
        <v>755.75</v>
      </c>
      <c r="L33" s="136">
        <f>SUMIFS('IS GL Summary'!$F:$F,'IS GL Summary'!$G:$G,"Insurance",'IS GL Summary'!$B:$B,DATE(2025,10,31))</f>
        <v>4743.9799999999996</v>
      </c>
      <c r="M33" s="136">
        <f>SUMIFS('IS GL Summary'!$F:$F,'IS GL Summary'!$G:$G,"Insurance",'IS GL Summary'!$B:$B,DATE(2025,11,30))</f>
        <v>0</v>
      </c>
      <c r="N33" s="136">
        <f>SUMIFS('IS GL Summary'!$F:$F,'IS GL Summary'!$G:$G,"Insurance",'IS GL Summary'!$B:$B,DATE(2025,12,31))</f>
        <v>500</v>
      </c>
      <c r="O33" s="136">
        <f>SUMIFS('IS GL Summary'!$F:$F,'IS GL Summary'!$G:$G,"Insurance",'IS GL Summary'!$B:$B,DATE(2026,1,31))</f>
        <v>713.61</v>
      </c>
      <c r="P33" s="136">
        <f>SUMIFS('IS GL Summary'!$F:$F,'IS GL Summary'!$G:$G,"Insurance",'IS GL Summary'!$B:$B,DATE(2026,2,28))</f>
        <v>713.61</v>
      </c>
      <c r="Q33" s="136">
        <f>SUMIFS('IS GL Summary'!$F:$F,'IS GL Summary'!$G:$G,"Insurance",'IS GL Summary'!$B:$B,DATE(2026,3,31))</f>
        <v>1469.3600000000001</v>
      </c>
      <c r="R33" s="40">
        <f t="shared" si="5"/>
        <v>9652.06</v>
      </c>
    </row>
    <row r="34" spans="2:18" x14ac:dyDescent="0.3">
      <c r="B34" s="48" t="s">
        <v>224</v>
      </c>
      <c r="C34" s="136">
        <f>SUMIFS('IS GL Summary'!$F:$F,'IS GL Summary'!$G:$G,"Facilities",'IS GL Summary'!$B:$B,DATE(2025,1,31))</f>
        <v>0</v>
      </c>
      <c r="D34" s="136">
        <f>SUMIFS('IS GL Summary'!$F:$F,'IS GL Summary'!$G:$G,"Facilities",'IS GL Summary'!$B:$B,DATE(2025,2,28))</f>
        <v>0</v>
      </c>
      <c r="E34" s="136">
        <f>SUMIFS('IS GL Summary'!$F:$F,'IS GL Summary'!$G:$G,"Facilities",'IS GL Summary'!$B:$B,DATE(2025,3,31))</f>
        <v>0</v>
      </c>
      <c r="F34" s="136">
        <f>SUMIFS('IS GL Summary'!$F:$F,'IS GL Summary'!$G:$G,"Facilities",'IS GL Summary'!$B:$B,DATE(2025,4,30))</f>
        <v>0</v>
      </c>
      <c r="G34" s="136">
        <f>SUMIFS('IS GL Summary'!$F:$F,'IS GL Summary'!$G:$G,"Facilities",'IS GL Summary'!$B:$B,DATE(2025,5,31))</f>
        <v>0</v>
      </c>
      <c r="H34" s="136">
        <f>SUMIFS('IS GL Summary'!$F:$F,'IS GL Summary'!$G:$G,"Facilities",'IS GL Summary'!$B:$B,DATE(2025,6,30))</f>
        <v>0</v>
      </c>
      <c r="I34" s="136">
        <f>SUMIFS('IS GL Summary'!$F:$F,'IS GL Summary'!$G:$G,"Facilities",'IS GL Summary'!$B:$B,DATE(2025,7,31))</f>
        <v>0</v>
      </c>
      <c r="J34" s="136">
        <f>SUMIFS('IS GL Summary'!$F:$F,'IS GL Summary'!$G:$G,"Facilities",'IS GL Summary'!$B:$B,DATE(2025,8,31))</f>
        <v>0</v>
      </c>
      <c r="K34" s="136">
        <f>SUMIFS('IS GL Summary'!$F:$F,'IS GL Summary'!$G:$G,"Facilities",'IS GL Summary'!$B:$B,DATE(2025,9,30))</f>
        <v>0</v>
      </c>
      <c r="L34" s="136">
        <f>SUMIFS('IS GL Summary'!$F:$F,'IS GL Summary'!$G:$G,"Facilities",'IS GL Summary'!$B:$B,DATE(2025,10,31))</f>
        <v>0</v>
      </c>
      <c r="M34" s="136">
        <f>SUMIFS('IS GL Summary'!$F:$F,'IS GL Summary'!$G:$G,"Facilities",'IS GL Summary'!$B:$B,DATE(2025,11,30))</f>
        <v>0</v>
      </c>
      <c r="N34" s="136">
        <f>SUMIFS('IS GL Summary'!$F:$F,'IS GL Summary'!$G:$G,"Facilities",'IS GL Summary'!$B:$B,DATE(2025,12,31))</f>
        <v>0</v>
      </c>
      <c r="O34" s="136">
        <f>SUMIFS('IS GL Summary'!$F:$F,'IS GL Summary'!$G:$G,"Facilities",'IS GL Summary'!$B:$B,DATE(2026,1,31))</f>
        <v>0</v>
      </c>
      <c r="P34" s="136">
        <f>SUMIFS('IS GL Summary'!$F:$F,'IS GL Summary'!$G:$G,"Facilities",'IS GL Summary'!$B:$B,DATE(2026,2,28))</f>
        <v>0</v>
      </c>
      <c r="Q34" s="136">
        <f>SUMIFS('IS GL Summary'!$F:$F,'IS GL Summary'!$G:$G,"Facilities",'IS GL Summary'!$B:$B,DATE(2026,3,31))</f>
        <v>0</v>
      </c>
      <c r="R34" s="40">
        <f t="shared" si="5"/>
        <v>0</v>
      </c>
    </row>
    <row r="35" spans="2:18" x14ac:dyDescent="0.3">
      <c r="B35" s="48" t="s">
        <v>225</v>
      </c>
      <c r="C35" s="136">
        <f>SUMIFS('IS GL Summary'!$F:$F,'IS GL Summary'!$G:$G,"Continuing Education",'IS GL Summary'!$B:$B,DATE(2025,1,31))</f>
        <v>299</v>
      </c>
      <c r="D35" s="136">
        <f>SUMIFS('IS GL Summary'!$F:$F,'IS GL Summary'!$G:$G,"Continuing Education",'IS GL Summary'!$B:$B,DATE(2025,2,28))</f>
        <v>450</v>
      </c>
      <c r="E35" s="136">
        <f>SUMIFS('IS GL Summary'!$F:$F,'IS GL Summary'!$G:$G,"Continuing Education",'IS GL Summary'!$B:$B,DATE(2025,3,31))</f>
        <v>0</v>
      </c>
      <c r="F35" s="136">
        <f>SUMIFS('IS GL Summary'!$F:$F,'IS GL Summary'!$G:$G,"Continuing Education",'IS GL Summary'!$B:$B,DATE(2025,4,30))</f>
        <v>1739.24</v>
      </c>
      <c r="G35" s="136">
        <f>SUMIFS('IS GL Summary'!$F:$F,'IS GL Summary'!$G:$G,"Continuing Education",'IS GL Summary'!$B:$B,DATE(2025,5,31))</f>
        <v>842.15</v>
      </c>
      <c r="H35" s="136">
        <f>SUMIFS('IS GL Summary'!$F:$F,'IS GL Summary'!$G:$G,"Continuing Education",'IS GL Summary'!$B:$B,DATE(2025,6,30))</f>
        <v>0</v>
      </c>
      <c r="I35" s="136">
        <f>SUMIFS('IS GL Summary'!$F:$F,'IS GL Summary'!$G:$G,"Continuing Education",'IS GL Summary'!$B:$B,DATE(2025,7,31))</f>
        <v>0</v>
      </c>
      <c r="J35" s="136">
        <f>SUMIFS('IS GL Summary'!$F:$F,'IS GL Summary'!$G:$G,"Continuing Education",'IS GL Summary'!$B:$B,DATE(2025,8,31))</f>
        <v>0</v>
      </c>
      <c r="K35" s="136">
        <f>SUMIFS('IS GL Summary'!$F:$F,'IS GL Summary'!$G:$G,"Continuing Education",'IS GL Summary'!$B:$B,DATE(2025,9,30))</f>
        <v>0</v>
      </c>
      <c r="L35" s="136">
        <f>SUMIFS('IS GL Summary'!$F:$F,'IS GL Summary'!$G:$G,"Continuing Education",'IS GL Summary'!$B:$B,DATE(2025,10,31))</f>
        <v>0</v>
      </c>
      <c r="M35" s="136">
        <f>SUMIFS('IS GL Summary'!$F:$F,'IS GL Summary'!$G:$G,"Continuing Education",'IS GL Summary'!$B:$B,DATE(2025,11,30))</f>
        <v>0</v>
      </c>
      <c r="N35" s="136">
        <f>SUMIFS('IS GL Summary'!$F:$F,'IS GL Summary'!$G:$G,"Continuing Education",'IS GL Summary'!$B:$B,DATE(2025,12,31))</f>
        <v>0</v>
      </c>
      <c r="O35" s="136">
        <f>SUMIFS('IS GL Summary'!$F:$F,'IS GL Summary'!$G:$G,"Continuing Education",'IS GL Summary'!$B:$B,DATE(2026,1,31))</f>
        <v>0</v>
      </c>
      <c r="P35" s="136">
        <f>SUMIFS('IS GL Summary'!$F:$F,'IS GL Summary'!$G:$G,"Continuing Education",'IS GL Summary'!$B:$B,DATE(2026,2,28))</f>
        <v>0</v>
      </c>
      <c r="Q35" s="136">
        <f>SUMIFS('IS GL Summary'!$F:$F,'IS GL Summary'!$G:$G,"Continuing Education",'IS GL Summary'!$B:$B,DATE(2026,3,31))</f>
        <v>0</v>
      </c>
      <c r="R35" s="40">
        <f t="shared" si="5"/>
        <v>3330.39</v>
      </c>
    </row>
    <row r="36" spans="2:18" x14ac:dyDescent="0.3">
      <c r="B36" s="48" t="s">
        <v>226</v>
      </c>
      <c r="C36" s="136">
        <f>SUMIFS('IS GL Summary'!$F:$F,'IS GL Summary'!$G:$G,"Taxes",'IS GL Summary'!$B:$B,DATE(2025,1,31))</f>
        <v>0</v>
      </c>
      <c r="D36" s="136">
        <f>SUMIFS('IS GL Summary'!$F:$F,'IS GL Summary'!$G:$G,"Taxes",'IS GL Summary'!$B:$B,DATE(2025,2,28))</f>
        <v>0</v>
      </c>
      <c r="E36" s="136">
        <f>SUMIFS('IS GL Summary'!$F:$F,'IS GL Summary'!$G:$G,"Taxes",'IS GL Summary'!$B:$B,DATE(2025,3,31))</f>
        <v>0</v>
      </c>
      <c r="F36" s="136">
        <f>SUMIFS('IS GL Summary'!$F:$F,'IS GL Summary'!$G:$G,"Taxes",'IS GL Summary'!$B:$B,DATE(2025,4,30))</f>
        <v>0</v>
      </c>
      <c r="G36" s="136">
        <f>SUMIFS('IS GL Summary'!$F:$F,'IS GL Summary'!$G:$G,"Taxes",'IS GL Summary'!$B:$B,DATE(2025,5,31))</f>
        <v>0</v>
      </c>
      <c r="H36" s="136">
        <f>SUMIFS('IS GL Summary'!$F:$F,'IS GL Summary'!$G:$G,"Taxes",'IS GL Summary'!$B:$B,DATE(2025,6,30))</f>
        <v>0</v>
      </c>
      <c r="I36" s="136">
        <f>SUMIFS('IS GL Summary'!$F:$F,'IS GL Summary'!$G:$G,"Taxes",'IS GL Summary'!$B:$B,DATE(2025,7,31))</f>
        <v>0</v>
      </c>
      <c r="J36" s="136">
        <f>SUMIFS('IS GL Summary'!$F:$F,'IS GL Summary'!$G:$G,"Taxes",'IS GL Summary'!$B:$B,DATE(2025,8,31))</f>
        <v>0</v>
      </c>
      <c r="K36" s="136">
        <f>SUMIFS('IS GL Summary'!$F:$F,'IS GL Summary'!$G:$G,"Taxes",'IS GL Summary'!$B:$B,DATE(2025,9,30))</f>
        <v>0</v>
      </c>
      <c r="L36" s="136">
        <f>SUMIFS('IS GL Summary'!$F:$F,'IS GL Summary'!$G:$G,"Taxes",'IS GL Summary'!$B:$B,DATE(2025,10,31))</f>
        <v>0</v>
      </c>
      <c r="M36" s="136">
        <f>SUMIFS('IS GL Summary'!$F:$F,'IS GL Summary'!$G:$G,"Taxes",'IS GL Summary'!$B:$B,DATE(2025,11,30))</f>
        <v>0</v>
      </c>
      <c r="N36" s="136">
        <f>SUMIFS('IS GL Summary'!$F:$F,'IS GL Summary'!$G:$G,"Taxes",'IS GL Summary'!$B:$B,DATE(2025,12,31))</f>
        <v>0</v>
      </c>
      <c r="O36" s="136">
        <f>SUMIFS('IS GL Summary'!$F:$F,'IS GL Summary'!$G:$G,"Taxes",'IS GL Summary'!$B:$B,DATE(2026,1,31))</f>
        <v>67.87</v>
      </c>
      <c r="P36" s="136">
        <f>SUMIFS('IS GL Summary'!$F:$F,'IS GL Summary'!$G:$G,"Taxes",'IS GL Summary'!$B:$B,DATE(2026,2,28))</f>
        <v>0</v>
      </c>
      <c r="Q36" s="136">
        <f>SUMIFS('IS GL Summary'!$F:$F,'IS GL Summary'!$G:$G,"Taxes",'IS GL Summary'!$B:$B,DATE(2026,3,31))</f>
        <v>0</v>
      </c>
      <c r="R36" s="40">
        <f t="shared" si="5"/>
        <v>67.87</v>
      </c>
    </row>
    <row r="37" spans="2:18" x14ac:dyDescent="0.3">
      <c r="B37" s="37" t="s">
        <v>227</v>
      </c>
      <c r="C37" s="49">
        <f t="shared" ref="C37:R37" si="6">C26+C27+C28+C29+C30+C31+C32+C33+C34+C35+C36</f>
        <v>70401.97</v>
      </c>
      <c r="D37" s="49">
        <f t="shared" si="6"/>
        <v>58495.96</v>
      </c>
      <c r="E37" s="49">
        <f t="shared" si="6"/>
        <v>56977.459999999992</v>
      </c>
      <c r="F37" s="49">
        <f t="shared" si="6"/>
        <v>51331.30999999999</v>
      </c>
      <c r="G37" s="49">
        <f t="shared" si="6"/>
        <v>70543.990000000005</v>
      </c>
      <c r="H37" s="49">
        <f t="shared" si="6"/>
        <v>66320.759999999995</v>
      </c>
      <c r="I37" s="49">
        <f t="shared" si="6"/>
        <v>70523.759999999995</v>
      </c>
      <c r="J37" s="49">
        <f t="shared" si="6"/>
        <v>76565.310000000012</v>
      </c>
      <c r="K37" s="49">
        <f t="shared" si="6"/>
        <v>54961.45</v>
      </c>
      <c r="L37" s="49">
        <f t="shared" si="6"/>
        <v>66014.559999999998</v>
      </c>
      <c r="M37" s="49">
        <f t="shared" si="6"/>
        <v>85499.11</v>
      </c>
      <c r="N37" s="49">
        <f t="shared" si="6"/>
        <v>90566.640000000014</v>
      </c>
      <c r="O37" s="49">
        <f t="shared" si="6"/>
        <v>92649.939999999988</v>
      </c>
      <c r="P37" s="49">
        <f t="shared" si="6"/>
        <v>78456.070000000007</v>
      </c>
      <c r="Q37" s="49">
        <f t="shared" si="6"/>
        <v>79237.240000000005</v>
      </c>
      <c r="R37" s="49">
        <f t="shared" si="6"/>
        <v>1068545.53</v>
      </c>
    </row>
    <row r="39" spans="2:18" x14ac:dyDescent="0.3">
      <c r="B39" s="37" t="s">
        <v>130</v>
      </c>
      <c r="C39" s="41">
        <f t="shared" ref="C39:R39" si="7">+C23-C37</f>
        <v>-82869.180000000022</v>
      </c>
      <c r="D39" s="41">
        <f t="shared" si="7"/>
        <v>32048.730000000003</v>
      </c>
      <c r="E39" s="41">
        <f t="shared" si="7"/>
        <v>68122.98000000001</v>
      </c>
      <c r="F39" s="41">
        <f t="shared" si="7"/>
        <v>4748.7800000000352</v>
      </c>
      <c r="G39" s="41">
        <f t="shared" si="7"/>
        <v>25455.11</v>
      </c>
      <c r="H39" s="41">
        <f t="shared" si="7"/>
        <v>37119.290000000037</v>
      </c>
      <c r="I39" s="41">
        <f t="shared" si="7"/>
        <v>-118862.77999999998</v>
      </c>
      <c r="J39" s="41">
        <f t="shared" si="7"/>
        <v>11297.059999999998</v>
      </c>
      <c r="K39" s="41">
        <f t="shared" si="7"/>
        <v>69136.11</v>
      </c>
      <c r="L39" s="41">
        <f t="shared" si="7"/>
        <v>-2001.3999999999942</v>
      </c>
      <c r="M39" s="41">
        <f t="shared" si="7"/>
        <v>88599.090000000011</v>
      </c>
      <c r="N39" s="41">
        <f t="shared" si="7"/>
        <v>-24685.869999999995</v>
      </c>
      <c r="O39" s="41">
        <f t="shared" si="7"/>
        <v>22033.500000000029</v>
      </c>
      <c r="P39" s="41">
        <f t="shared" si="7"/>
        <v>17228.770000000019</v>
      </c>
      <c r="Q39" s="41">
        <f t="shared" si="7"/>
        <v>-4488.7699999999895</v>
      </c>
      <c r="R39" s="41">
        <f t="shared" si="7"/>
        <v>142881.41999999969</v>
      </c>
    </row>
    <row r="41" spans="2:18" x14ac:dyDescent="0.3">
      <c r="B41" s="46" t="s">
        <v>209</v>
      </c>
      <c r="C41" s="47"/>
      <c r="D41" s="47"/>
      <c r="E41" s="47"/>
      <c r="F41" s="47"/>
      <c r="G41" s="47"/>
      <c r="H41" s="47"/>
      <c r="I41" s="47"/>
      <c r="J41" s="47"/>
      <c r="K41" s="47"/>
      <c r="L41" s="47"/>
      <c r="M41" s="47"/>
      <c r="N41" s="47"/>
      <c r="O41" s="47"/>
      <c r="P41" s="47"/>
      <c r="Q41" s="47"/>
      <c r="R41" s="47"/>
    </row>
    <row r="42" spans="2:18" x14ac:dyDescent="0.3">
      <c r="B42" s="48" t="s">
        <v>229</v>
      </c>
      <c r="C42" s="136">
        <f>SUMIFS('IS GL Summary'!$F:$F,'IS GL Summary'!$G:$G,"Interest income (expense), net",'IS GL Summary'!$B:$B,DATE(2025,1,31))</f>
        <v>0</v>
      </c>
      <c r="D42" s="136">
        <f>SUMIFS('IS GL Summary'!$F:$F,'IS GL Summary'!$G:$G,"Interest income (expense), net",'IS GL Summary'!$B:$B,DATE(2025,2,28))</f>
        <v>0</v>
      </c>
      <c r="E42" s="136">
        <f>SUMIFS('IS GL Summary'!$F:$F,'IS GL Summary'!$G:$G,"Interest income (expense), net",'IS GL Summary'!$B:$B,DATE(2025,3,31))</f>
        <v>0</v>
      </c>
      <c r="F42" s="136">
        <f>SUMIFS('IS GL Summary'!$F:$F,'IS GL Summary'!$G:$G,"Interest income (expense), net",'IS GL Summary'!$B:$B,DATE(2025,4,30))</f>
        <v>0</v>
      </c>
      <c r="G42" s="136">
        <f>SUMIFS('IS GL Summary'!$F:$F,'IS GL Summary'!$G:$G,"Interest income (expense), net",'IS GL Summary'!$B:$B,DATE(2025,5,31))</f>
        <v>0</v>
      </c>
      <c r="H42" s="136">
        <f>SUMIFS('IS GL Summary'!$F:$F,'IS GL Summary'!$G:$G,"Interest income (expense), net",'IS GL Summary'!$B:$B,DATE(2025,6,30))</f>
        <v>0</v>
      </c>
      <c r="I42" s="136">
        <f>SUMIFS('IS GL Summary'!$F:$F,'IS GL Summary'!$G:$G,"Interest income (expense), net",'IS GL Summary'!$B:$B,DATE(2025,7,31))</f>
        <v>0</v>
      </c>
      <c r="J42" s="136">
        <f>SUMIFS('IS GL Summary'!$F:$F,'IS GL Summary'!$G:$G,"Interest income (expense), net",'IS GL Summary'!$B:$B,DATE(2025,8,31))</f>
        <v>0</v>
      </c>
      <c r="K42" s="136">
        <f>SUMIFS('IS GL Summary'!$F:$F,'IS GL Summary'!$G:$G,"Interest income (expense), net",'IS GL Summary'!$B:$B,DATE(2025,9,30))</f>
        <v>0</v>
      </c>
      <c r="L42" s="136">
        <f>SUMIFS('IS GL Summary'!$F:$F,'IS GL Summary'!$G:$G,"Interest income (expense), net",'IS GL Summary'!$B:$B,DATE(2025,10,31))</f>
        <v>0</v>
      </c>
      <c r="M42" s="136">
        <f>SUMIFS('IS GL Summary'!$F:$F,'IS GL Summary'!$G:$G,"Interest income (expense), net",'IS GL Summary'!$B:$B,DATE(2025,11,30))</f>
        <v>0</v>
      </c>
      <c r="N42" s="136">
        <f>SUMIFS('IS GL Summary'!$F:$F,'IS GL Summary'!$G:$G,"Interest income (expense), net",'IS GL Summary'!$B:$B,DATE(2025,12,31))</f>
        <v>0</v>
      </c>
      <c r="O42" s="136">
        <f>SUMIFS('IS GL Summary'!$F:$F,'IS GL Summary'!$G:$G,"Interest income (expense), net",'IS GL Summary'!$B:$B,DATE(2026,1,31))</f>
        <v>0</v>
      </c>
      <c r="P42" s="136">
        <f>SUMIFS('IS GL Summary'!$F:$F,'IS GL Summary'!$G:$G,"Interest income (expense), net",'IS GL Summary'!$B:$B,DATE(2026,2,28))</f>
        <v>0</v>
      </c>
      <c r="Q42" s="136">
        <f>SUMIFS('IS GL Summary'!$F:$F,'IS GL Summary'!$G:$G,"Interest income (expense), net",'IS GL Summary'!$B:$B,DATE(2026,3,31))</f>
        <v>0</v>
      </c>
      <c r="R42" s="40">
        <f>SUM(C42:Q42)</f>
        <v>0</v>
      </c>
    </row>
    <row r="43" spans="2:18" x14ac:dyDescent="0.3">
      <c r="B43" s="37" t="s">
        <v>230</v>
      </c>
      <c r="C43" s="49">
        <f t="shared" ref="C43:R43" si="8">C42</f>
        <v>0</v>
      </c>
      <c r="D43" s="49">
        <f t="shared" si="8"/>
        <v>0</v>
      </c>
      <c r="E43" s="49">
        <f t="shared" si="8"/>
        <v>0</v>
      </c>
      <c r="F43" s="49">
        <f t="shared" si="8"/>
        <v>0</v>
      </c>
      <c r="G43" s="49">
        <f t="shared" si="8"/>
        <v>0</v>
      </c>
      <c r="H43" s="49">
        <f t="shared" si="8"/>
        <v>0</v>
      </c>
      <c r="I43" s="49">
        <f t="shared" si="8"/>
        <v>0</v>
      </c>
      <c r="J43" s="49">
        <f t="shared" si="8"/>
        <v>0</v>
      </c>
      <c r="K43" s="49">
        <f t="shared" si="8"/>
        <v>0</v>
      </c>
      <c r="L43" s="49">
        <f t="shared" si="8"/>
        <v>0</v>
      </c>
      <c r="M43" s="49">
        <f t="shared" si="8"/>
        <v>0</v>
      </c>
      <c r="N43" s="49">
        <f t="shared" si="8"/>
        <v>0</v>
      </c>
      <c r="O43" s="49">
        <f t="shared" si="8"/>
        <v>0</v>
      </c>
      <c r="P43" s="49">
        <f t="shared" si="8"/>
        <v>0</v>
      </c>
      <c r="Q43" s="49">
        <f t="shared" si="8"/>
        <v>0</v>
      </c>
      <c r="R43" s="49">
        <f t="shared" si="8"/>
        <v>0</v>
      </c>
    </row>
    <row r="45" spans="2:18" x14ac:dyDescent="0.3">
      <c r="B45" s="50" t="s">
        <v>12</v>
      </c>
      <c r="C45" s="51">
        <f t="shared" ref="C45:R45" si="9">+C39+C43</f>
        <v>-82869.180000000022</v>
      </c>
      <c r="D45" s="51">
        <f t="shared" si="9"/>
        <v>32048.730000000003</v>
      </c>
      <c r="E45" s="51">
        <f t="shared" si="9"/>
        <v>68122.98000000001</v>
      </c>
      <c r="F45" s="51">
        <f t="shared" si="9"/>
        <v>4748.7800000000352</v>
      </c>
      <c r="G45" s="51">
        <f t="shared" si="9"/>
        <v>25455.11</v>
      </c>
      <c r="H45" s="51">
        <f t="shared" si="9"/>
        <v>37119.290000000037</v>
      </c>
      <c r="I45" s="51">
        <f t="shared" si="9"/>
        <v>-118862.77999999998</v>
      </c>
      <c r="J45" s="51">
        <f t="shared" si="9"/>
        <v>11297.059999999998</v>
      </c>
      <c r="K45" s="51">
        <f t="shared" si="9"/>
        <v>69136.11</v>
      </c>
      <c r="L45" s="51">
        <f t="shared" si="9"/>
        <v>-2001.3999999999942</v>
      </c>
      <c r="M45" s="51">
        <f t="shared" si="9"/>
        <v>88599.090000000011</v>
      </c>
      <c r="N45" s="51">
        <f t="shared" si="9"/>
        <v>-24685.869999999995</v>
      </c>
      <c r="O45" s="51">
        <f t="shared" si="9"/>
        <v>22033.500000000029</v>
      </c>
      <c r="P45" s="51">
        <f t="shared" si="9"/>
        <v>17228.770000000019</v>
      </c>
      <c r="Q45" s="51">
        <f t="shared" si="9"/>
        <v>-4488.7699999999895</v>
      </c>
      <c r="R45" s="51">
        <f t="shared" si="9"/>
        <v>142881.41999999969</v>
      </c>
    </row>
    <row r="47" spans="2:18" x14ac:dyDescent="0.3">
      <c r="B47" s="42" t="s">
        <v>231</v>
      </c>
      <c r="C47" s="43">
        <f>'P&amp;L'!C106</f>
        <v>-82869.179999999993</v>
      </c>
      <c r="D47" s="43">
        <f>'P&amp;L'!D106</f>
        <v>32048.73</v>
      </c>
      <c r="E47" s="43">
        <f>'P&amp;L'!E106</f>
        <v>68122.98</v>
      </c>
      <c r="F47" s="43">
        <f>'P&amp;L'!F106</f>
        <v>4748.78</v>
      </c>
      <c r="G47" s="43">
        <f>'P&amp;L'!G106</f>
        <v>25455.11</v>
      </c>
      <c r="H47" s="43">
        <f>'P&amp;L'!H106</f>
        <v>37119.29</v>
      </c>
      <c r="I47" s="43">
        <f>'P&amp;L'!I106</f>
        <v>-118862.78</v>
      </c>
      <c r="J47" s="43">
        <f>'P&amp;L'!J106</f>
        <v>11297.06</v>
      </c>
      <c r="K47" s="43">
        <f>'P&amp;L'!K106</f>
        <v>69136.11</v>
      </c>
      <c r="L47" s="43">
        <f>'P&amp;L'!L106</f>
        <v>-2001.4</v>
      </c>
      <c r="M47" s="43">
        <f>'P&amp;L'!M106</f>
        <v>88599.09</v>
      </c>
      <c r="N47" s="43">
        <f>'P&amp;L'!N106</f>
        <v>-24685.87</v>
      </c>
      <c r="O47" s="43">
        <f>'P&amp;L'!O106</f>
        <v>22033.5</v>
      </c>
      <c r="P47" s="43">
        <f>'P&amp;L'!P106</f>
        <v>17228.77</v>
      </c>
      <c r="Q47" s="43">
        <f>'P&amp;L'!Q106</f>
        <v>-4488.7700000000004</v>
      </c>
      <c r="R47" s="43">
        <f>'P&amp;L'!R106</f>
        <v>142881.42000000001</v>
      </c>
    </row>
    <row r="48" spans="2:18" x14ac:dyDescent="0.3">
      <c r="B48" s="37" t="s">
        <v>134</v>
      </c>
      <c r="C48" s="44">
        <f t="shared" ref="C48:R48" si="10">C45-C47</f>
        <v>0</v>
      </c>
      <c r="D48" s="44">
        <f t="shared" si="10"/>
        <v>0</v>
      </c>
      <c r="E48" s="44">
        <f t="shared" si="10"/>
        <v>0</v>
      </c>
      <c r="F48" s="44">
        <f t="shared" si="10"/>
        <v>3.5470293369144201E-11</v>
      </c>
      <c r="G48" s="44">
        <f t="shared" si="10"/>
        <v>0</v>
      </c>
      <c r="H48" s="44">
        <f t="shared" si="10"/>
        <v>0</v>
      </c>
      <c r="I48" s="44">
        <f t="shared" si="10"/>
        <v>0</v>
      </c>
      <c r="J48" s="44">
        <f t="shared" si="10"/>
        <v>0</v>
      </c>
      <c r="K48" s="44">
        <f t="shared" si="10"/>
        <v>0</v>
      </c>
      <c r="L48" s="44">
        <f t="shared" si="10"/>
        <v>5.9117155615240335E-12</v>
      </c>
      <c r="M48" s="44">
        <f t="shared" si="10"/>
        <v>0</v>
      </c>
      <c r="N48" s="44">
        <f t="shared" si="10"/>
        <v>0</v>
      </c>
      <c r="O48" s="44">
        <f t="shared" si="10"/>
        <v>2.9103830456733704E-11</v>
      </c>
      <c r="P48" s="44">
        <f t="shared" si="10"/>
        <v>0</v>
      </c>
      <c r="Q48" s="44">
        <f t="shared" si="10"/>
        <v>1.0913936421275139E-11</v>
      </c>
      <c r="R48" s="44">
        <f t="shared" si="10"/>
        <v>-3.2014213502407074E-10</v>
      </c>
    </row>
  </sheetData>
  <conditionalFormatting sqref="B48:R48">
    <cfRule type="cellIs" dxfId="25" priority="1" operator="notEqual">
      <formula>0</formula>
    </cfRule>
    <cfRule type="cellIs" dxfId="24" priority="2" operator="equal">
      <formula>0</formula>
    </cfRule>
  </conditionalFormatting>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42"/>
  <sheetViews>
    <sheetView showGridLines="0" workbookViewId="0">
      <pane ySplit="5" topLeftCell="A6" activePane="bottomLeft" state="frozen"/>
      <selection pane="bottomLeft" activeCell="F8" sqref="F8"/>
    </sheetView>
  </sheetViews>
  <sheetFormatPr defaultRowHeight="14.4" x14ac:dyDescent="0.3"/>
  <cols>
    <col min="1" max="1" width="0.6640625" customWidth="1"/>
    <col min="2" max="2" width="41" customWidth="1"/>
    <col min="3" max="17" width="14" customWidth="1"/>
  </cols>
  <sheetData>
    <row r="1" spans="1:17" x14ac:dyDescent="0.3">
      <c r="A1" s="37" t="s">
        <v>386</v>
      </c>
    </row>
    <row r="2" spans="1:17" x14ac:dyDescent="0.3">
      <c r="A2" s="38" t="s">
        <v>556</v>
      </c>
    </row>
    <row r="5" spans="1:17" x14ac:dyDescent="0.3">
      <c r="B5" s="9" t="s">
        <v>32</v>
      </c>
      <c r="C5" s="208">
        <v>45658</v>
      </c>
      <c r="D5" s="208">
        <v>45689</v>
      </c>
      <c r="E5" s="208">
        <v>45717</v>
      </c>
      <c r="F5" s="208">
        <v>45748</v>
      </c>
      <c r="G5" s="208">
        <v>45778</v>
      </c>
      <c r="H5" s="208">
        <v>45809</v>
      </c>
      <c r="I5" s="208">
        <v>45839</v>
      </c>
      <c r="J5" s="208">
        <v>45870</v>
      </c>
      <c r="K5" s="208">
        <v>45901</v>
      </c>
      <c r="L5" s="208">
        <v>45931</v>
      </c>
      <c r="M5" s="208">
        <v>45962</v>
      </c>
      <c r="N5" s="208">
        <v>45992</v>
      </c>
      <c r="O5" s="208">
        <v>46023</v>
      </c>
      <c r="P5" s="208">
        <v>46054</v>
      </c>
      <c r="Q5" s="208">
        <v>46082</v>
      </c>
    </row>
    <row r="6" spans="1:17" x14ac:dyDescent="0.3">
      <c r="B6" s="46" t="s">
        <v>137</v>
      </c>
      <c r="C6" s="47"/>
      <c r="D6" s="47"/>
      <c r="E6" s="47"/>
      <c r="F6" s="47"/>
      <c r="G6" s="47"/>
      <c r="H6" s="47"/>
      <c r="I6" s="47"/>
      <c r="J6" s="47"/>
      <c r="K6" s="47"/>
      <c r="L6" s="47"/>
      <c r="M6" s="47"/>
      <c r="N6" s="47"/>
      <c r="O6" s="47"/>
      <c r="P6" s="47"/>
      <c r="Q6" s="47"/>
    </row>
    <row r="7" spans="1:17" x14ac:dyDescent="0.3">
      <c r="B7" s="48" t="s">
        <v>232</v>
      </c>
      <c r="C7" s="136">
        <f>SUMIFS('BS Balances'!$G:$G,'BS Balances'!$H:$H,"Cash &amp; Cash Equivalents",'BS Balances'!$F:$F,DATE(2025,1,31))</f>
        <v>224402.09</v>
      </c>
      <c r="D7" s="136">
        <f>SUMIFS('BS Balances'!$G:$G,'BS Balances'!$H:$H,"Cash &amp; Cash Equivalents",'BS Balances'!$F:$F,DATE(2025,2,28))</f>
        <v>190936.3</v>
      </c>
      <c r="E7" s="136">
        <f>SUMIFS('BS Balances'!$G:$G,'BS Balances'!$H:$H,"Cash &amp; Cash Equivalents",'BS Balances'!$F:$F,DATE(2025,3,31))</f>
        <v>578678.65</v>
      </c>
      <c r="F7" s="136">
        <f>SUMIFS('BS Balances'!$G:$G,'BS Balances'!$H:$H,"Cash &amp; Cash Equivalents",'BS Balances'!$F:$F,DATE(2025,4,30))</f>
        <v>569112.67000000004</v>
      </c>
      <c r="G7" s="136">
        <f>SUMIFS('BS Balances'!$G:$G,'BS Balances'!$H:$H,"Cash &amp; Cash Equivalents",'BS Balances'!$F:$F,DATE(2025,5,31))</f>
        <v>594143.94999999995</v>
      </c>
      <c r="H7" s="136">
        <f>SUMIFS('BS Balances'!$G:$G,'BS Balances'!$H:$H,"Cash &amp; Cash Equivalents",'BS Balances'!$F:$F,DATE(2025,6,30))</f>
        <v>590291.4</v>
      </c>
      <c r="I7" s="136">
        <f>SUMIFS('BS Balances'!$G:$G,'BS Balances'!$H:$H,"Cash &amp; Cash Equivalents",'BS Balances'!$F:$F,DATE(2025,7,31))</f>
        <v>457562.5</v>
      </c>
      <c r="J7" s="136">
        <f>SUMIFS('BS Balances'!$G:$G,'BS Balances'!$H:$H,"Cash &amp; Cash Equivalents",'BS Balances'!$F:$F,DATE(2025,8,31))</f>
        <v>392139.95</v>
      </c>
      <c r="K7" s="136">
        <f>SUMIFS('BS Balances'!$G:$G,'BS Balances'!$H:$H,"Cash &amp; Cash Equivalents",'BS Balances'!$F:$F,DATE(2025,9,30))</f>
        <v>311921.28999999998</v>
      </c>
      <c r="L7" s="136">
        <f>SUMIFS('BS Balances'!$G:$G,'BS Balances'!$H:$H,"Cash &amp; Cash Equivalents",'BS Balances'!$F:$F,DATE(2025,10,31))</f>
        <v>341997.83</v>
      </c>
      <c r="M7" s="136">
        <f>SUMIFS('BS Balances'!$G:$G,'BS Balances'!$H:$H,"Cash &amp; Cash Equivalents",'BS Balances'!$F:$F,DATE(2025,11,30))</f>
        <v>272069.16000000003</v>
      </c>
      <c r="N7" s="136">
        <f>SUMIFS('BS Balances'!$G:$G,'BS Balances'!$H:$H,"Cash &amp; Cash Equivalents",'BS Balances'!$F:$F,DATE(2025,12,31))</f>
        <v>289475.78999999998</v>
      </c>
      <c r="O7" s="136">
        <f>SUMIFS('BS Balances'!$G:$G,'BS Balances'!$H:$H,"Cash &amp; Cash Equivalents",'BS Balances'!$F:$F,DATE(2026,1,31))</f>
        <v>229008.54</v>
      </c>
      <c r="P7" s="136">
        <f>SUMIFS('BS Balances'!$G:$G,'BS Balances'!$H:$H,"Cash &amp; Cash Equivalents",'BS Balances'!$F:$F,DATE(2026,2,28))</f>
        <v>206196.36</v>
      </c>
      <c r="Q7" s="136">
        <f>SUMIFS('BS Balances'!$G:$G,'BS Balances'!$H:$H,"Cash &amp; Cash Equivalents",'BS Balances'!$F:$F,DATE(2026,3,31))</f>
        <v>152582.79999999999</v>
      </c>
    </row>
    <row r="8" spans="1:17" x14ac:dyDescent="0.3">
      <c r="B8" s="48" t="s">
        <v>233</v>
      </c>
      <c r="C8" s="136">
        <f>SUMIFS('BS Balances'!$G:$G,'BS Balances'!$H:$H,"Accounts Receivable (A/R)",'BS Balances'!$F:$F,DATE(2025,1,31))</f>
        <v>149976.18</v>
      </c>
      <c r="D8" s="136">
        <f>SUMIFS('BS Balances'!$G:$G,'BS Balances'!$H:$H,"Accounts Receivable (A/R)",'BS Balances'!$F:$F,DATE(2025,2,28))</f>
        <v>233095.72</v>
      </c>
      <c r="E8" s="136">
        <f>SUMIFS('BS Balances'!$G:$G,'BS Balances'!$H:$H,"Accounts Receivable (A/R)",'BS Balances'!$F:$F,DATE(2025,3,31))</f>
        <v>214696.01</v>
      </c>
      <c r="F8" s="136">
        <f>SUMIFS('BS Balances'!$G:$G,'BS Balances'!$H:$H,"Accounts Receivable (A/R)",'BS Balances'!$F:$F,DATE(2025,4,30))</f>
        <v>258499.37</v>
      </c>
      <c r="G8" s="136">
        <f>SUMIFS('BS Balances'!$G:$G,'BS Balances'!$H:$H,"Accounts Receivable (A/R)",'BS Balances'!$F:$F,DATE(2025,5,31))</f>
        <v>196693.72</v>
      </c>
      <c r="H8" s="136">
        <f>SUMIFS('BS Balances'!$G:$G,'BS Balances'!$H:$H,"Accounts Receivable (A/R)",'BS Balances'!$F:$F,DATE(2025,6,30))</f>
        <v>197765.81</v>
      </c>
      <c r="I8" s="136">
        <f>SUMIFS('BS Balances'!$G:$G,'BS Balances'!$H:$H,"Accounts Receivable (A/R)",'BS Balances'!$F:$F,DATE(2025,7,31))</f>
        <v>47574.23</v>
      </c>
      <c r="J8" s="136">
        <f>SUMIFS('BS Balances'!$G:$G,'BS Balances'!$H:$H,"Accounts Receivable (A/R)",'BS Balances'!$F:$F,DATE(2025,8,31))</f>
        <v>41996.89</v>
      </c>
      <c r="K8" s="136">
        <f>SUMIFS('BS Balances'!$G:$G,'BS Balances'!$H:$H,"Accounts Receivable (A/R)",'BS Balances'!$F:$F,DATE(2025,9,30))</f>
        <v>190800.43</v>
      </c>
      <c r="L8" s="136">
        <f>SUMIFS('BS Balances'!$G:$G,'BS Balances'!$H:$H,"Accounts Receivable (A/R)",'BS Balances'!$F:$F,DATE(2025,10,31))</f>
        <v>109437.97</v>
      </c>
      <c r="M8" s="136">
        <f>SUMIFS('BS Balances'!$G:$G,'BS Balances'!$H:$H,"Accounts Receivable (A/R)",'BS Balances'!$F:$F,DATE(2025,11,30))</f>
        <v>210328.93</v>
      </c>
      <c r="N8" s="136">
        <f>SUMIFS('BS Balances'!$G:$G,'BS Balances'!$H:$H,"Accounts Receivable (A/R)",'BS Balances'!$F:$F,DATE(2025,12,31))</f>
        <v>98795.38</v>
      </c>
      <c r="O8" s="136">
        <f>SUMIFS('BS Balances'!$G:$G,'BS Balances'!$H:$H,"Accounts Receivable (A/R)",'BS Balances'!$F:$F,DATE(2026,1,31))</f>
        <v>126274.13</v>
      </c>
      <c r="P8" s="136">
        <f>SUMIFS('BS Balances'!$G:$G,'BS Balances'!$H:$H,"Accounts Receivable (A/R)",'BS Balances'!$F:$F,DATE(2026,2,28))</f>
        <v>107461.88</v>
      </c>
      <c r="Q8" s="136">
        <f>SUMIFS('BS Balances'!$G:$G,'BS Balances'!$H:$H,"Accounts Receivable (A/R)",'BS Balances'!$F:$F,DATE(2026,3,31))</f>
        <v>110018.95</v>
      </c>
    </row>
    <row r="9" spans="1:17" x14ac:dyDescent="0.3">
      <c r="B9" s="48" t="s">
        <v>143</v>
      </c>
      <c r="C9" s="136">
        <f>SUMIFS('BS Balances'!$G:$G,'BS Balances'!$H:$H,"Other Current Assets",'BS Balances'!$F:$F,DATE(2025,1,31))</f>
        <v>-100</v>
      </c>
      <c r="D9" s="136">
        <f>SUMIFS('BS Balances'!$G:$G,'BS Balances'!$H:$H,"Other Current Assets",'BS Balances'!$F:$F,DATE(2025,2,28))</f>
        <v>-150</v>
      </c>
      <c r="E9" s="136">
        <f>SUMIFS('BS Balances'!$G:$G,'BS Balances'!$H:$H,"Other Current Assets",'BS Balances'!$F:$F,DATE(2025,3,31))</f>
        <v>950</v>
      </c>
      <c r="F9" s="136">
        <f>SUMIFS('BS Balances'!$G:$G,'BS Balances'!$H:$H,"Other Current Assets",'BS Balances'!$F:$F,DATE(2025,4,30))</f>
        <v>-3612</v>
      </c>
      <c r="G9" s="136">
        <f>SUMIFS('BS Balances'!$G:$G,'BS Balances'!$H:$H,"Other Current Assets",'BS Balances'!$F:$F,DATE(2025,5,31))</f>
        <v>380</v>
      </c>
      <c r="H9" s="136">
        <f>SUMIFS('BS Balances'!$G:$G,'BS Balances'!$H:$H,"Other Current Assets",'BS Balances'!$F:$F,DATE(2025,6,30))</f>
        <v>-360</v>
      </c>
      <c r="I9" s="136">
        <f>SUMIFS('BS Balances'!$G:$G,'BS Balances'!$H:$H,"Other Current Assets",'BS Balances'!$F:$F,DATE(2025,7,31))</f>
        <v>-660</v>
      </c>
      <c r="J9" s="136">
        <f>SUMIFS('BS Balances'!$G:$G,'BS Balances'!$H:$H,"Other Current Assets",'BS Balances'!$F:$F,DATE(2025,8,31))</f>
        <v>871.5</v>
      </c>
      <c r="K9" s="136">
        <f>SUMIFS('BS Balances'!$G:$G,'BS Balances'!$H:$H,"Other Current Assets",'BS Balances'!$F:$F,DATE(2025,9,30))</f>
        <v>2760</v>
      </c>
      <c r="L9" s="136">
        <f>SUMIFS('BS Balances'!$G:$G,'BS Balances'!$H:$H,"Other Current Assets",'BS Balances'!$F:$F,DATE(2025,10,31))</f>
        <v>9159.15</v>
      </c>
      <c r="M9" s="136">
        <f>SUMIFS('BS Balances'!$G:$G,'BS Balances'!$H:$H,"Other Current Assets",'BS Balances'!$F:$F,DATE(2025,11,30))</f>
        <v>8639.15</v>
      </c>
      <c r="N9" s="136">
        <f>SUMIFS('BS Balances'!$G:$G,'BS Balances'!$H:$H,"Other Current Assets",'BS Balances'!$F:$F,DATE(2025,12,31))</f>
        <v>15141.77</v>
      </c>
      <c r="O9" s="136">
        <f>SUMIFS('BS Balances'!$G:$G,'BS Balances'!$H:$H,"Other Current Assets",'BS Balances'!$F:$F,DATE(2026,1,31))</f>
        <v>17421.37</v>
      </c>
      <c r="P9" s="136">
        <f>SUMIFS('BS Balances'!$G:$G,'BS Balances'!$H:$H,"Other Current Assets",'BS Balances'!$F:$F,DATE(2026,2,28))</f>
        <v>20096.099999999999</v>
      </c>
      <c r="Q9" s="136">
        <f>SUMIFS('BS Balances'!$G:$G,'BS Balances'!$H:$H,"Other Current Assets",'BS Balances'!$F:$F,DATE(2026,3,31))</f>
        <v>24779.690000000002</v>
      </c>
    </row>
    <row r="10" spans="1:17" x14ac:dyDescent="0.3">
      <c r="B10" s="46" t="s">
        <v>234</v>
      </c>
      <c r="C10" s="47"/>
      <c r="D10" s="47"/>
      <c r="E10" s="47"/>
      <c r="F10" s="47"/>
      <c r="G10" s="47"/>
      <c r="H10" s="47"/>
      <c r="I10" s="47"/>
      <c r="J10" s="47"/>
      <c r="K10" s="47"/>
      <c r="L10" s="47"/>
      <c r="M10" s="47"/>
      <c r="N10" s="47"/>
      <c r="O10" s="47"/>
      <c r="P10" s="47"/>
      <c r="Q10" s="47"/>
    </row>
    <row r="11" spans="1:17" x14ac:dyDescent="0.3">
      <c r="B11" s="48" t="s">
        <v>235</v>
      </c>
      <c r="C11" s="136">
        <f>SUMIFS('BS Balances'!$G:$G,'BS Balances'!$H:$H,"Other Long-Term Assets",'BS Balances'!$F:$F,DATE(2025,1,31))</f>
        <v>100000</v>
      </c>
      <c r="D11" s="136">
        <f>SUMIFS('BS Balances'!$G:$G,'BS Balances'!$H:$H,"Other Long-Term Assets",'BS Balances'!$F:$F,DATE(2025,2,28))</f>
        <v>100000</v>
      </c>
      <c r="E11" s="136">
        <f>SUMIFS('BS Balances'!$G:$G,'BS Balances'!$H:$H,"Other Long-Term Assets",'BS Balances'!$F:$F,DATE(2025,3,31))</f>
        <v>100000</v>
      </c>
      <c r="F11" s="136">
        <f>SUMIFS('BS Balances'!$G:$G,'BS Balances'!$H:$H,"Other Long-Term Assets",'BS Balances'!$F:$F,DATE(2025,4,30))</f>
        <v>100000</v>
      </c>
      <c r="G11" s="136">
        <f>SUMIFS('BS Balances'!$G:$G,'BS Balances'!$H:$H,"Other Long-Term Assets",'BS Balances'!$F:$F,DATE(2025,5,31))</f>
        <v>100000</v>
      </c>
      <c r="H11" s="136">
        <f>SUMIFS('BS Balances'!$G:$G,'BS Balances'!$H:$H,"Other Long-Term Assets",'BS Balances'!$F:$F,DATE(2025,6,30))</f>
        <v>100000</v>
      </c>
      <c r="I11" s="136">
        <f>SUMIFS('BS Balances'!$G:$G,'BS Balances'!$H:$H,"Other Long-Term Assets",'BS Balances'!$F:$F,DATE(2025,7,31))</f>
        <v>100000</v>
      </c>
      <c r="J11" s="136">
        <f>SUMIFS('BS Balances'!$G:$G,'BS Balances'!$H:$H,"Other Long-Term Assets",'BS Balances'!$F:$F,DATE(2025,8,31))</f>
        <v>100000</v>
      </c>
      <c r="K11" s="136">
        <f>SUMIFS('BS Balances'!$G:$G,'BS Balances'!$H:$H,"Other Long-Term Assets",'BS Balances'!$F:$F,DATE(2025,9,30))</f>
        <v>100000</v>
      </c>
      <c r="L11" s="136">
        <f>SUMIFS('BS Balances'!$G:$G,'BS Balances'!$H:$H,"Other Long-Term Assets",'BS Balances'!$F:$F,DATE(2025,10,31))</f>
        <v>100000</v>
      </c>
      <c r="M11" s="136">
        <f>SUMIFS('BS Balances'!$G:$G,'BS Balances'!$H:$H,"Other Long-Term Assets",'BS Balances'!$F:$F,DATE(2025,11,30))</f>
        <v>100000</v>
      </c>
      <c r="N11" s="136">
        <f>SUMIFS('BS Balances'!$G:$G,'BS Balances'!$H:$H,"Other Long-Term Assets",'BS Balances'!$F:$F,DATE(2025,12,31))</f>
        <v>100000</v>
      </c>
      <c r="O11" s="136">
        <f>SUMIFS('BS Balances'!$G:$G,'BS Balances'!$H:$H,"Other Long-Term Assets",'BS Balances'!$F:$F,DATE(2026,1,31))</f>
        <v>100000</v>
      </c>
      <c r="P11" s="136">
        <f>SUMIFS('BS Balances'!$G:$G,'BS Balances'!$H:$H,"Other Long-Term Assets",'BS Balances'!$F:$F,DATE(2026,2,28))</f>
        <v>100000</v>
      </c>
      <c r="Q11" s="136">
        <f>SUMIFS('BS Balances'!$G:$G,'BS Balances'!$H:$H,"Other Long-Term Assets",'BS Balances'!$F:$F,DATE(2026,3,31))</f>
        <v>100000</v>
      </c>
    </row>
    <row r="12" spans="1:17" x14ac:dyDescent="0.3">
      <c r="B12" s="46" t="s">
        <v>154</v>
      </c>
      <c r="C12" s="47"/>
      <c r="D12" s="47"/>
      <c r="E12" s="47"/>
      <c r="F12" s="47"/>
      <c r="G12" s="47"/>
      <c r="H12" s="47"/>
      <c r="I12" s="47"/>
      <c r="J12" s="47"/>
      <c r="K12" s="47"/>
      <c r="L12" s="47"/>
      <c r="M12" s="47"/>
      <c r="N12" s="47"/>
      <c r="O12" s="47"/>
      <c r="P12" s="47"/>
      <c r="Q12" s="47"/>
    </row>
    <row r="13" spans="1:17" x14ac:dyDescent="0.3">
      <c r="B13" s="48" t="s">
        <v>236</v>
      </c>
      <c r="C13" s="40">
        <v>0</v>
      </c>
      <c r="D13" s="40">
        <v>0</v>
      </c>
      <c r="E13" s="40">
        <v>0</v>
      </c>
      <c r="F13" s="40">
        <v>0</v>
      </c>
      <c r="G13" s="40">
        <v>0</v>
      </c>
      <c r="H13" s="40">
        <v>0</v>
      </c>
      <c r="I13" s="40">
        <v>0</v>
      </c>
      <c r="J13" s="40">
        <v>0</v>
      </c>
      <c r="K13" s="40">
        <v>0</v>
      </c>
      <c r="L13" s="40">
        <v>0</v>
      </c>
      <c r="M13" s="40">
        <v>0</v>
      </c>
      <c r="N13" s="40">
        <v>0</v>
      </c>
      <c r="O13" s="40">
        <v>0</v>
      </c>
      <c r="P13" s="40">
        <v>0</v>
      </c>
      <c r="Q13" s="40">
        <v>0</v>
      </c>
    </row>
    <row r="14" spans="1:17" x14ac:dyDescent="0.3">
      <c r="B14" s="50" t="s">
        <v>13</v>
      </c>
      <c r="C14" s="51">
        <f t="shared" ref="C14:Q14" si="0">C7+C8+C9+C11+C13</f>
        <v>474278.27</v>
      </c>
      <c r="D14" s="51">
        <f t="shared" si="0"/>
        <v>523882.02</v>
      </c>
      <c r="E14" s="51">
        <f t="shared" si="0"/>
        <v>894324.66</v>
      </c>
      <c r="F14" s="51">
        <f t="shared" si="0"/>
        <v>924000.04</v>
      </c>
      <c r="G14" s="51">
        <f t="shared" si="0"/>
        <v>891217.66999999993</v>
      </c>
      <c r="H14" s="51">
        <f t="shared" si="0"/>
        <v>887697.21</v>
      </c>
      <c r="I14" s="51">
        <f t="shared" si="0"/>
        <v>604476.73</v>
      </c>
      <c r="J14" s="51">
        <f t="shared" si="0"/>
        <v>535008.34000000008</v>
      </c>
      <c r="K14" s="51">
        <f t="shared" si="0"/>
        <v>605481.72</v>
      </c>
      <c r="L14" s="51">
        <f t="shared" si="0"/>
        <v>560594.95000000007</v>
      </c>
      <c r="M14" s="51">
        <f t="shared" si="0"/>
        <v>591037.24</v>
      </c>
      <c r="N14" s="51">
        <f t="shared" si="0"/>
        <v>503412.94</v>
      </c>
      <c r="O14" s="51">
        <f t="shared" si="0"/>
        <v>472704.04000000004</v>
      </c>
      <c r="P14" s="51">
        <f t="shared" si="0"/>
        <v>433754.33999999997</v>
      </c>
      <c r="Q14" s="51">
        <f t="shared" si="0"/>
        <v>387381.44</v>
      </c>
    </row>
    <row r="16" spans="1:17" x14ac:dyDescent="0.3">
      <c r="B16" s="46" t="s">
        <v>161</v>
      </c>
      <c r="C16" s="47"/>
      <c r="D16" s="47"/>
      <c r="E16" s="47"/>
      <c r="F16" s="47"/>
      <c r="G16" s="47"/>
      <c r="H16" s="47"/>
      <c r="I16" s="47"/>
      <c r="J16" s="47"/>
      <c r="K16" s="47"/>
      <c r="L16" s="47"/>
      <c r="M16" s="47"/>
      <c r="N16" s="47"/>
      <c r="O16" s="47"/>
      <c r="P16" s="47"/>
      <c r="Q16" s="47"/>
    </row>
    <row r="17" spans="2:17" x14ac:dyDescent="0.3">
      <c r="B17" s="48" t="s">
        <v>162</v>
      </c>
      <c r="C17" s="136">
        <f>SUMIFS('BS Balances'!$G:$G,'BS Balances'!$H:$H,"Accounts Payable",'BS Balances'!$F:$F,DATE(2025,1,31))</f>
        <v>14257.490000000002</v>
      </c>
      <c r="D17" s="136">
        <f>SUMIFS('BS Balances'!$G:$G,'BS Balances'!$H:$H,"Accounts Payable",'BS Balances'!$F:$F,DATE(2025,2,28))</f>
        <v>22475.81</v>
      </c>
      <c r="E17" s="136">
        <f>SUMIFS('BS Balances'!$G:$G,'BS Balances'!$H:$H,"Accounts Payable",'BS Balances'!$F:$F,DATE(2025,3,31))</f>
        <v>16311.279999999999</v>
      </c>
      <c r="F17" s="136">
        <f>SUMIFS('BS Balances'!$G:$G,'BS Balances'!$H:$H,"Accounts Payable",'BS Balances'!$F:$F,DATE(2025,4,30))</f>
        <v>54827.929999999993</v>
      </c>
      <c r="G17" s="136">
        <f>SUMIFS('BS Balances'!$G:$G,'BS Balances'!$H:$H,"Accounts Payable",'BS Balances'!$F:$F,DATE(2025,5,31))</f>
        <v>17432.599999999999</v>
      </c>
      <c r="H17" s="136">
        <f>SUMIFS('BS Balances'!$G:$G,'BS Balances'!$H:$H,"Accounts Payable",'BS Balances'!$F:$F,DATE(2025,6,30))</f>
        <v>26033.630000000005</v>
      </c>
      <c r="I17" s="136">
        <f>SUMIFS('BS Balances'!$G:$G,'BS Balances'!$H:$H,"Accounts Payable",'BS Balances'!$F:$F,DATE(2025,7,31))</f>
        <v>48557.36</v>
      </c>
      <c r="J17" s="136">
        <f>SUMIFS('BS Balances'!$G:$G,'BS Balances'!$H:$H,"Accounts Payable",'BS Balances'!$F:$F,DATE(2025,8,31))</f>
        <v>12112.53</v>
      </c>
      <c r="K17" s="136">
        <f>SUMIFS('BS Balances'!$G:$G,'BS Balances'!$H:$H,"Accounts Payable",'BS Balances'!$F:$F,DATE(2025,9,30))</f>
        <v>8113.02</v>
      </c>
      <c r="L17" s="136">
        <f>SUMIFS('BS Balances'!$G:$G,'BS Balances'!$H:$H,"Accounts Payable",'BS Balances'!$F:$F,DATE(2025,10,31))</f>
        <v>16705.170000000002</v>
      </c>
      <c r="M17" s="136">
        <f>SUMIFS('BS Balances'!$G:$G,'BS Balances'!$H:$H,"Accounts Payable",'BS Balances'!$F:$F,DATE(2025,11,30))</f>
        <v>14929.970000000001</v>
      </c>
      <c r="N17" s="136">
        <f>SUMIFS('BS Balances'!$G:$G,'BS Balances'!$H:$H,"Accounts Payable",'BS Balances'!$F:$F,DATE(2025,12,31))</f>
        <v>8589.7899999999991</v>
      </c>
      <c r="O17" s="136">
        <f>SUMIFS('BS Balances'!$G:$G,'BS Balances'!$H:$H,"Accounts Payable",'BS Balances'!$F:$F,DATE(2026,1,31))</f>
        <v>20369.010000000002</v>
      </c>
      <c r="P17" s="136">
        <f>SUMIFS('BS Balances'!$G:$G,'BS Balances'!$H:$H,"Accounts Payable",'BS Balances'!$F:$F,DATE(2026,2,28))</f>
        <v>25544.019999999997</v>
      </c>
      <c r="Q17" s="136">
        <f>SUMIFS('BS Balances'!$G:$G,'BS Balances'!$H:$H,"Accounts Payable",'BS Balances'!$F:$F,DATE(2026,3,31))</f>
        <v>19591.510000000002</v>
      </c>
    </row>
    <row r="18" spans="2:17" x14ac:dyDescent="0.3">
      <c r="B18" s="48" t="s">
        <v>167</v>
      </c>
      <c r="C18" s="136">
        <f>SUMIFS('BS Balances'!$G:$G,'BS Balances'!$H:$H,"Other Current Liabilities",'BS Balances'!$F:$F,DATE(2025,1,31))</f>
        <v>22000</v>
      </c>
      <c r="D18" s="136">
        <f>SUMIFS('BS Balances'!$G:$G,'BS Balances'!$H:$H,"Other Current Liabilities",'BS Balances'!$F:$F,DATE(2025,2,28))</f>
        <v>31750</v>
      </c>
      <c r="E18" s="136">
        <f>SUMIFS('BS Balances'!$G:$G,'BS Balances'!$H:$H,"Other Current Liabilities",'BS Balances'!$F:$F,DATE(2025,3,31))</f>
        <v>44875</v>
      </c>
      <c r="F18" s="136">
        <f>SUMIFS('BS Balances'!$G:$G,'BS Balances'!$H:$H,"Other Current Liabilities",'BS Balances'!$F:$F,DATE(2025,4,30))</f>
        <v>43250</v>
      </c>
      <c r="G18" s="136">
        <f>SUMIFS('BS Balances'!$G:$G,'BS Balances'!$H:$H,"Other Current Liabilities",'BS Balances'!$F:$F,DATE(2025,5,31))</f>
        <v>44250</v>
      </c>
      <c r="H18" s="136">
        <f>SUMIFS('BS Balances'!$G:$G,'BS Balances'!$H:$H,"Other Current Liabilities",'BS Balances'!$F:$F,DATE(2025,6,30))</f>
        <v>5500</v>
      </c>
      <c r="I18" s="136">
        <f>SUMIFS('BS Balances'!$G:$G,'BS Balances'!$H:$H,"Other Current Liabilities",'BS Balances'!$F:$F,DATE(2025,7,31))</f>
        <v>6500</v>
      </c>
      <c r="J18" s="136">
        <f>SUMIFS('BS Balances'!$G:$G,'BS Balances'!$H:$H,"Other Current Liabilities",'BS Balances'!$F:$F,DATE(2025,8,31))</f>
        <v>7750</v>
      </c>
      <c r="K18" s="136">
        <f>SUMIFS('BS Balances'!$G:$G,'BS Balances'!$H:$H,"Other Current Liabilities",'BS Balances'!$F:$F,DATE(2025,9,30))</f>
        <v>8500</v>
      </c>
      <c r="L18" s="136">
        <f>SUMIFS('BS Balances'!$G:$G,'BS Balances'!$H:$H,"Other Current Liabilities",'BS Balances'!$F:$F,DATE(2025,10,31))</f>
        <v>7875</v>
      </c>
      <c r="M18" s="136">
        <f>SUMIFS('BS Balances'!$G:$G,'BS Balances'!$H:$H,"Other Current Liabilities",'BS Balances'!$F:$F,DATE(2025,11,30))</f>
        <v>7250</v>
      </c>
      <c r="N18" s="136">
        <f>SUMIFS('BS Balances'!$G:$G,'BS Balances'!$H:$H,"Other Current Liabilities",'BS Balances'!$F:$F,DATE(2025,12,31))</f>
        <v>1000</v>
      </c>
      <c r="O18" s="136">
        <f>SUMIFS('BS Balances'!$G:$G,'BS Balances'!$H:$H,"Other Current Liabilities",'BS Balances'!$F:$F,DATE(2026,1,31))</f>
        <v>31925.399999999998</v>
      </c>
      <c r="P18" s="136">
        <f>SUMIFS('BS Balances'!$G:$G,'BS Balances'!$H:$H,"Other Current Liabilities",'BS Balances'!$F:$F,DATE(2026,2,28))</f>
        <v>28735.629999999997</v>
      </c>
      <c r="Q18" s="136">
        <f>SUMIFS('BS Balances'!$G:$G,'BS Balances'!$H:$H,"Other Current Liabilities",'BS Balances'!$F:$F,DATE(2026,3,31))</f>
        <v>40558.82</v>
      </c>
    </row>
    <row r="19" spans="2:17" x14ac:dyDescent="0.3">
      <c r="B19" s="48" t="s">
        <v>237</v>
      </c>
      <c r="C19" s="136">
        <f>SUMIFS('BS Balances'!$G:$G,'BS Balances'!$H:$H,"Deferred Revenue",'BS Balances'!$F:$F,DATE(2025,1,31))</f>
        <v>25130.63</v>
      </c>
      <c r="D19" s="136">
        <f>SUMIFS('BS Balances'!$G:$G,'BS Balances'!$H:$H,"Deferred Revenue",'BS Balances'!$F:$F,DATE(2025,2,28))</f>
        <v>25130.63</v>
      </c>
      <c r="E19" s="136">
        <f>SUMIFS('BS Balances'!$G:$G,'BS Balances'!$H:$H,"Deferred Revenue",'BS Balances'!$F:$F,DATE(2025,3,31))</f>
        <v>319999</v>
      </c>
      <c r="F19" s="136">
        <f>SUMIFS('BS Balances'!$G:$G,'BS Balances'!$H:$H,"Deferred Revenue",'BS Balances'!$F:$F,DATE(2025,4,30))</f>
        <v>308049.3</v>
      </c>
      <c r="G19" s="136">
        <f>SUMIFS('BS Balances'!$G:$G,'BS Balances'!$H:$H,"Deferred Revenue",'BS Balances'!$F:$F,DATE(2025,5,31))</f>
        <v>286361.25</v>
      </c>
      <c r="H19" s="136">
        <f>SUMIFS('BS Balances'!$G:$G,'BS Balances'!$H:$H,"Deferred Revenue",'BS Balances'!$F:$F,DATE(2025,6,30))</f>
        <v>275286.95</v>
      </c>
      <c r="I19" s="136">
        <f>SUMIFS('BS Balances'!$G:$G,'BS Balances'!$H:$H,"Deferred Revenue",'BS Balances'!$F:$F,DATE(2025,7,31))</f>
        <v>237664.56</v>
      </c>
      <c r="J19" s="136">
        <f>SUMIFS('BS Balances'!$G:$G,'BS Balances'!$H:$H,"Deferred Revenue",'BS Balances'!$F:$F,DATE(2025,8,31))</f>
        <v>192408.77</v>
      </c>
      <c r="K19" s="136">
        <f>SUMIFS('BS Balances'!$G:$G,'BS Balances'!$H:$H,"Deferred Revenue",'BS Balances'!$F:$F,DATE(2025,9,30))</f>
        <v>197099.25</v>
      </c>
      <c r="L19" s="136">
        <f>SUMIFS('BS Balances'!$G:$G,'BS Balances'!$H:$H,"Deferred Revenue",'BS Balances'!$F:$F,DATE(2025,10,31))</f>
        <v>146274.07</v>
      </c>
      <c r="M19" s="136">
        <f>SUMIFS('BS Balances'!$G:$G,'BS Balances'!$H:$H,"Deferred Revenue",'BS Balances'!$F:$F,DATE(2025,11,30))</f>
        <v>91957.39</v>
      </c>
      <c r="N19" s="136">
        <f>SUMIFS('BS Balances'!$G:$G,'BS Balances'!$H:$H,"Deferred Revenue",'BS Balances'!$F:$F,DATE(2025,12,31))</f>
        <v>39434.959999999999</v>
      </c>
      <c r="O19" s="136">
        <f>SUMIFS('BS Balances'!$G:$G,'BS Balances'!$H:$H,"Deferred Revenue",'BS Balances'!$F:$F,DATE(2026,1,31))</f>
        <v>-10555.5</v>
      </c>
      <c r="P19" s="136">
        <f>SUMIFS('BS Balances'!$G:$G,'BS Balances'!$H:$H,"Deferred Revenue",'BS Balances'!$F:$F,DATE(2026,2,28))</f>
        <v>-68719.210000000006</v>
      </c>
      <c r="Q19" s="136">
        <f>SUMIFS('BS Balances'!$G:$G,'BS Balances'!$H:$H,"Deferred Revenue",'BS Balances'!$F:$F,DATE(2026,3,31))</f>
        <v>-116474.02</v>
      </c>
    </row>
    <row r="20" spans="2:17" x14ac:dyDescent="0.3">
      <c r="B20" s="46" t="s">
        <v>238</v>
      </c>
      <c r="C20" s="47"/>
      <c r="D20" s="47"/>
      <c r="E20" s="47"/>
      <c r="F20" s="47"/>
      <c r="G20" s="47"/>
      <c r="H20" s="47"/>
      <c r="I20" s="47"/>
      <c r="J20" s="47"/>
      <c r="K20" s="47"/>
      <c r="L20" s="47"/>
      <c r="M20" s="47"/>
      <c r="N20" s="47"/>
      <c r="O20" s="47"/>
      <c r="P20" s="47"/>
      <c r="Q20" s="47"/>
    </row>
    <row r="21" spans="2:17" x14ac:dyDescent="0.3">
      <c r="B21" s="48" t="s">
        <v>239</v>
      </c>
      <c r="C21" s="136">
        <f>SUMIFS('BS Balances'!$G:$G,'BS Balances'!$H:$H,"Other Long-term Liabilities",'BS Balances'!$F:$F,DATE(2025,1,31))</f>
        <v>90000</v>
      </c>
      <c r="D21" s="136">
        <f>SUMIFS('BS Balances'!$G:$G,'BS Balances'!$H:$H,"Other Long-term Liabilities",'BS Balances'!$F:$F,DATE(2025,2,28))</f>
        <v>90000</v>
      </c>
      <c r="E21" s="136">
        <f>SUMIFS('BS Balances'!$G:$G,'BS Balances'!$H:$H,"Other Long-term Liabilities",'BS Balances'!$F:$F,DATE(2025,3,31))</f>
        <v>90000</v>
      </c>
      <c r="F21" s="136">
        <f>SUMIFS('BS Balances'!$G:$G,'BS Balances'!$H:$H,"Other Long-term Liabilities",'BS Balances'!$F:$F,DATE(2025,4,30))</f>
        <v>90000</v>
      </c>
      <c r="G21" s="136">
        <f>SUMIFS('BS Balances'!$G:$G,'BS Balances'!$H:$H,"Other Long-term Liabilities",'BS Balances'!$F:$F,DATE(2025,5,31))</f>
        <v>90000</v>
      </c>
      <c r="H21" s="136">
        <f>SUMIFS('BS Balances'!$G:$G,'BS Balances'!$H:$H,"Other Long-term Liabilities",'BS Balances'!$F:$F,DATE(2025,6,30))</f>
        <v>90000</v>
      </c>
      <c r="I21" s="136">
        <f>SUMIFS('BS Balances'!$G:$G,'BS Balances'!$H:$H,"Other Long-term Liabilities",'BS Balances'!$F:$F,DATE(2025,7,31))</f>
        <v>90000</v>
      </c>
      <c r="J21" s="136">
        <f>SUMIFS('BS Balances'!$G:$G,'BS Balances'!$H:$H,"Other Long-term Liabilities",'BS Balances'!$F:$F,DATE(2025,8,31))</f>
        <v>90000</v>
      </c>
      <c r="K21" s="136">
        <f>SUMIFS('BS Balances'!$G:$G,'BS Balances'!$H:$H,"Other Long-term Liabilities",'BS Balances'!$F:$F,DATE(2025,9,30))</f>
        <v>90000</v>
      </c>
      <c r="L21" s="136">
        <f>SUMIFS('BS Balances'!$G:$G,'BS Balances'!$H:$H,"Other Long-term Liabilities",'BS Balances'!$F:$F,DATE(2025,10,31))</f>
        <v>90000</v>
      </c>
      <c r="M21" s="136">
        <f>SUMIFS('BS Balances'!$G:$G,'BS Balances'!$H:$H,"Other Long-term Liabilities",'BS Balances'!$F:$F,DATE(2025,11,30))</f>
        <v>90000</v>
      </c>
      <c r="N21" s="136">
        <f>SUMIFS('BS Balances'!$G:$G,'BS Balances'!$H:$H,"Other Long-term Liabilities",'BS Balances'!$F:$F,DATE(2025,12,31))</f>
        <v>90000</v>
      </c>
      <c r="O21" s="136">
        <f>SUMIFS('BS Balances'!$G:$G,'BS Balances'!$H:$H,"Other Long-term Liabilities",'BS Balances'!$F:$F,DATE(2026,1,31))</f>
        <v>90000</v>
      </c>
      <c r="P21" s="136">
        <f>SUMIFS('BS Balances'!$G:$G,'BS Balances'!$H:$H,"Other Long-term Liabilities",'BS Balances'!$F:$F,DATE(2026,2,28))</f>
        <v>90000</v>
      </c>
      <c r="Q21" s="136">
        <f>SUMIFS('BS Balances'!$G:$G,'BS Balances'!$H:$H,"Other Long-term Liabilities",'BS Balances'!$F:$F,DATE(2026,3,31))</f>
        <v>90000</v>
      </c>
    </row>
    <row r="22" spans="2:17" x14ac:dyDescent="0.3">
      <c r="B22" s="52" t="s">
        <v>14</v>
      </c>
      <c r="C22" s="49">
        <f t="shared" ref="C22:Q22" si="1">C17+C18+C19+C21</f>
        <v>151388.12</v>
      </c>
      <c r="D22" s="49">
        <f t="shared" si="1"/>
        <v>169356.44</v>
      </c>
      <c r="E22" s="49">
        <f t="shared" si="1"/>
        <v>471185.28</v>
      </c>
      <c r="F22" s="49">
        <f t="shared" si="1"/>
        <v>496127.23</v>
      </c>
      <c r="G22" s="49">
        <f t="shared" si="1"/>
        <v>438043.85</v>
      </c>
      <c r="H22" s="49">
        <f t="shared" si="1"/>
        <v>396820.58</v>
      </c>
      <c r="I22" s="49">
        <f t="shared" si="1"/>
        <v>382721.92</v>
      </c>
      <c r="J22" s="49">
        <f t="shared" si="1"/>
        <v>302271.3</v>
      </c>
      <c r="K22" s="49">
        <f t="shared" si="1"/>
        <v>303712.27</v>
      </c>
      <c r="L22" s="49">
        <f t="shared" si="1"/>
        <v>260854.24000000002</v>
      </c>
      <c r="M22" s="49">
        <f t="shared" si="1"/>
        <v>204137.36</v>
      </c>
      <c r="N22" s="49">
        <f t="shared" si="1"/>
        <v>139024.75</v>
      </c>
      <c r="O22" s="49">
        <f t="shared" si="1"/>
        <v>131738.91</v>
      </c>
      <c r="P22" s="49">
        <f t="shared" si="1"/>
        <v>75560.439999999988</v>
      </c>
      <c r="Q22" s="49">
        <f t="shared" si="1"/>
        <v>33676.31</v>
      </c>
    </row>
    <row r="24" spans="2:17" x14ac:dyDescent="0.3">
      <c r="B24" s="46" t="s">
        <v>180</v>
      </c>
      <c r="C24" s="47"/>
      <c r="D24" s="47"/>
      <c r="E24" s="47"/>
      <c r="F24" s="47"/>
      <c r="G24" s="47"/>
      <c r="H24" s="47"/>
      <c r="I24" s="47"/>
      <c r="J24" s="47"/>
      <c r="K24" s="47"/>
      <c r="L24" s="47"/>
      <c r="M24" s="47"/>
      <c r="N24" s="47"/>
      <c r="O24" s="47"/>
      <c r="P24" s="47"/>
      <c r="Q24" s="47"/>
    </row>
    <row r="25" spans="2:17" x14ac:dyDescent="0.3">
      <c r="B25" s="48" t="s">
        <v>240</v>
      </c>
      <c r="C25" s="136">
        <f>SUMIFS('BS Balances'!$G:$G,'BS Balances'!$H:$H,"Investor Equity",'BS Balances'!$F:$F,DATE(2025,1,31))</f>
        <v>405759.33</v>
      </c>
      <c r="D25" s="136">
        <f>SUMIFS('BS Balances'!$G:$G,'BS Balances'!$H:$H,"Investor Equity",'BS Balances'!$F:$F,DATE(2025,2,28))</f>
        <v>405346.03</v>
      </c>
      <c r="E25" s="136">
        <f>SUMIFS('BS Balances'!$G:$G,'BS Balances'!$H:$H,"Investor Equity",'BS Balances'!$F:$F,DATE(2025,3,31))</f>
        <v>405836.85000000003</v>
      </c>
      <c r="F25" s="136">
        <f>SUMIFS('BS Balances'!$G:$G,'BS Balances'!$H:$H,"Investor Equity",'BS Balances'!$F:$F,DATE(2025,4,30))</f>
        <v>405821.5</v>
      </c>
      <c r="G25" s="136">
        <f>SUMIFS('BS Balances'!$G:$G,'BS Balances'!$H:$H,"Investor Equity",'BS Balances'!$F:$F,DATE(2025,5,31))</f>
        <v>405667.4</v>
      </c>
      <c r="H25" s="136">
        <f>SUMIFS('BS Balances'!$G:$G,'BS Balances'!$H:$H,"Investor Equity",'BS Balances'!$F:$F,DATE(2025,6,30))</f>
        <v>406250.92000000004</v>
      </c>
      <c r="I25" s="136">
        <f>SUMIFS('BS Balances'!$G:$G,'BS Balances'!$H:$H,"Investor Equity",'BS Balances'!$F:$F,DATE(2025,7,31))</f>
        <v>255991.88</v>
      </c>
      <c r="J25" s="136">
        <f>SUMIFS('BS Balances'!$G:$G,'BS Balances'!$H:$H,"Investor Equity",'BS Balances'!$F:$F,DATE(2025,8,31))</f>
        <v>255677.05000000002</v>
      </c>
      <c r="K25" s="136">
        <f>SUMIFS('BS Balances'!$G:$G,'BS Balances'!$H:$H,"Investor Equity",'BS Balances'!$F:$F,DATE(2025,9,30))</f>
        <v>255573.35000000003</v>
      </c>
      <c r="L25" s="136">
        <f>SUMIFS('BS Balances'!$G:$G,'BS Balances'!$H:$H,"Investor Equity",'BS Balances'!$F:$F,DATE(2025,10,31))</f>
        <v>255546.01</v>
      </c>
      <c r="M25" s="136">
        <f>SUMIFS('BS Balances'!$G:$G,'BS Balances'!$H:$H,"Investor Equity",'BS Balances'!$F:$F,DATE(2025,11,30))</f>
        <v>254106.09000000003</v>
      </c>
      <c r="N25" s="136">
        <f>SUMIFS('BS Balances'!$G:$G,'BS Balances'!$H:$H,"Investor Equity",'BS Balances'!$F:$F,DATE(2025,12,31))</f>
        <v>256280.27000000002</v>
      </c>
      <c r="O25" s="136">
        <f>SUMIFS('BS Balances'!$G:$G,'BS Balances'!$H:$H,"Investor Equity",'BS Balances'!$F:$F,DATE(2026,1,31))</f>
        <v>318931.63</v>
      </c>
      <c r="P25" s="136">
        <f>SUMIFS('BS Balances'!$G:$G,'BS Balances'!$H:$H,"Investor Equity",'BS Balances'!$F:$F,DATE(2026,2,28))</f>
        <v>318931.63</v>
      </c>
      <c r="Q25" s="136">
        <f>SUMIFS('BS Balances'!$G:$G,'BS Balances'!$H:$H,"Investor Equity",'BS Balances'!$F:$F,DATE(2026,3,31))</f>
        <v>318931.63</v>
      </c>
    </row>
    <row r="26" spans="2:17" x14ac:dyDescent="0.3">
      <c r="B26" s="53" t="s">
        <v>12</v>
      </c>
      <c r="C26" s="43">
        <f>SUMIFS('BS Balances'!$G:$G,'BS Balances'!$B:$B,"Net Income",'BS Balances'!$F:$F,DATE(2025,1,31))</f>
        <v>-82869.179999999993</v>
      </c>
      <c r="D26" s="43">
        <f>SUMIFS('BS Balances'!$G:$G,'BS Balances'!$B:$B,"Net Income",'BS Balances'!$F:$F,DATE(2025,2,28))</f>
        <v>-50820.45</v>
      </c>
      <c r="E26" s="43">
        <f>SUMIFS('BS Balances'!$G:$G,'BS Balances'!$B:$B,"Net Income",'BS Balances'!$F:$F,DATE(2025,3,31))</f>
        <v>17302.53</v>
      </c>
      <c r="F26" s="43">
        <f>SUMIFS('BS Balances'!$G:$G,'BS Balances'!$B:$B,"Net Income",'BS Balances'!$F:$F,DATE(2025,4,30))</f>
        <v>22051.31</v>
      </c>
      <c r="G26" s="43">
        <f>SUMIFS('BS Balances'!$G:$G,'BS Balances'!$B:$B,"Net Income",'BS Balances'!$F:$F,DATE(2025,5,31))</f>
        <v>47506.42</v>
      </c>
      <c r="H26" s="43">
        <f>SUMIFS('BS Balances'!$G:$G,'BS Balances'!$B:$B,"Net Income",'BS Balances'!$F:$F,DATE(2025,6,30))</f>
        <v>84625.71</v>
      </c>
      <c r="I26" s="43">
        <f>SUMIFS('BS Balances'!$G:$G,'BS Balances'!$B:$B,"Net Income",'BS Balances'!$F:$F,DATE(2025,7,31))</f>
        <v>-34237.07</v>
      </c>
      <c r="J26" s="43">
        <f>SUMIFS('BS Balances'!$G:$G,'BS Balances'!$B:$B,"Net Income",'BS Balances'!$F:$F,DATE(2025,8,31))</f>
        <v>-22940.01</v>
      </c>
      <c r="K26" s="43">
        <f>SUMIFS('BS Balances'!$G:$G,'BS Balances'!$B:$B,"Net Income",'BS Balances'!$F:$F,DATE(2025,9,30))</f>
        <v>46196.1</v>
      </c>
      <c r="L26" s="43">
        <f>SUMIFS('BS Balances'!$G:$G,'BS Balances'!$B:$B,"Net Income",'BS Balances'!$F:$F,DATE(2025,10,31))</f>
        <v>44194.7</v>
      </c>
      <c r="M26" s="43">
        <f>SUMIFS('BS Balances'!$G:$G,'BS Balances'!$B:$B,"Net Income",'BS Balances'!$F:$F,DATE(2025,11,30))</f>
        <v>132793.79</v>
      </c>
      <c r="N26" s="43">
        <f>SUMIFS('BS Balances'!$G:$G,'BS Balances'!$B:$B,"Net Income",'BS Balances'!$F:$F,DATE(2025,12,31))</f>
        <v>108107.92</v>
      </c>
      <c r="O26" s="43">
        <f>SUMIFS('BS Balances'!$G:$G,'BS Balances'!$B:$B,"Net Income",'BS Balances'!$F:$F,DATE(2026,1,31))</f>
        <v>22033.5</v>
      </c>
      <c r="P26" s="43">
        <f>SUMIFS('BS Balances'!$G:$G,'BS Balances'!$B:$B,"Net Income",'BS Balances'!$F:$F,DATE(2026,2,28))</f>
        <v>39262.269999999997</v>
      </c>
      <c r="Q26" s="43">
        <f>SUMIFS('BS Balances'!$G:$G,'BS Balances'!$B:$B,"Net Income",'BS Balances'!$F:$F,DATE(2026,3,31))</f>
        <v>34773.5</v>
      </c>
    </row>
    <row r="27" spans="2:17" x14ac:dyDescent="0.3">
      <c r="B27" s="52" t="s">
        <v>15</v>
      </c>
      <c r="C27" s="49">
        <f t="shared" ref="C27:Q27" si="2">C25+C26</f>
        <v>322890.15000000002</v>
      </c>
      <c r="D27" s="49">
        <f t="shared" si="2"/>
        <v>354525.58</v>
      </c>
      <c r="E27" s="49">
        <f t="shared" si="2"/>
        <v>423139.38</v>
      </c>
      <c r="F27" s="49">
        <f t="shared" si="2"/>
        <v>427872.81</v>
      </c>
      <c r="G27" s="49">
        <f t="shared" si="2"/>
        <v>453173.82</v>
      </c>
      <c r="H27" s="49">
        <f t="shared" si="2"/>
        <v>490876.63000000006</v>
      </c>
      <c r="I27" s="49">
        <f t="shared" si="2"/>
        <v>221754.81</v>
      </c>
      <c r="J27" s="49">
        <f t="shared" si="2"/>
        <v>232737.04</v>
      </c>
      <c r="K27" s="49">
        <f t="shared" si="2"/>
        <v>301769.45</v>
      </c>
      <c r="L27" s="49">
        <f t="shared" si="2"/>
        <v>299740.71000000002</v>
      </c>
      <c r="M27" s="49">
        <f t="shared" si="2"/>
        <v>386899.88</v>
      </c>
      <c r="N27" s="49">
        <f t="shared" si="2"/>
        <v>364388.19</v>
      </c>
      <c r="O27" s="49">
        <f t="shared" si="2"/>
        <v>340965.13</v>
      </c>
      <c r="P27" s="49">
        <f t="shared" si="2"/>
        <v>358193.9</v>
      </c>
      <c r="Q27" s="49">
        <f t="shared" si="2"/>
        <v>353705.13</v>
      </c>
    </row>
    <row r="29" spans="2:17" x14ac:dyDescent="0.3">
      <c r="B29" s="50" t="s">
        <v>241</v>
      </c>
      <c r="C29" s="51">
        <f t="shared" ref="C29:Q29" si="3">C22+C27</f>
        <v>474278.27</v>
      </c>
      <c r="D29" s="51">
        <f t="shared" si="3"/>
        <v>523882.02</v>
      </c>
      <c r="E29" s="51">
        <f t="shared" si="3"/>
        <v>894324.66</v>
      </c>
      <c r="F29" s="51">
        <f t="shared" si="3"/>
        <v>924000.04</v>
      </c>
      <c r="G29" s="51">
        <f t="shared" si="3"/>
        <v>891217.66999999993</v>
      </c>
      <c r="H29" s="51">
        <f t="shared" si="3"/>
        <v>887697.21000000008</v>
      </c>
      <c r="I29" s="51">
        <f t="shared" si="3"/>
        <v>604476.73</v>
      </c>
      <c r="J29" s="51">
        <f t="shared" si="3"/>
        <v>535008.34</v>
      </c>
      <c r="K29" s="51">
        <f t="shared" si="3"/>
        <v>605481.72</v>
      </c>
      <c r="L29" s="51">
        <f t="shared" si="3"/>
        <v>560594.95000000007</v>
      </c>
      <c r="M29" s="51">
        <f t="shared" si="3"/>
        <v>591037.24</v>
      </c>
      <c r="N29" s="51">
        <f t="shared" si="3"/>
        <v>503412.94</v>
      </c>
      <c r="O29" s="51">
        <f t="shared" si="3"/>
        <v>472704.04000000004</v>
      </c>
      <c r="P29" s="51">
        <f t="shared" si="3"/>
        <v>433754.34</v>
      </c>
      <c r="Q29" s="51">
        <f t="shared" si="3"/>
        <v>387381.44</v>
      </c>
    </row>
    <row r="31" spans="2:17" x14ac:dyDescent="0.3">
      <c r="B31" s="37" t="s">
        <v>13</v>
      </c>
      <c r="C31" s="41">
        <f t="shared" ref="C31:Q31" si="4">C14</f>
        <v>474278.27</v>
      </c>
      <c r="D31" s="41">
        <f t="shared" si="4"/>
        <v>523882.02</v>
      </c>
      <c r="E31" s="41">
        <f t="shared" si="4"/>
        <v>894324.66</v>
      </c>
      <c r="F31" s="41">
        <f t="shared" si="4"/>
        <v>924000.04</v>
      </c>
      <c r="G31" s="41">
        <f t="shared" si="4"/>
        <v>891217.66999999993</v>
      </c>
      <c r="H31" s="41">
        <f t="shared" si="4"/>
        <v>887697.21</v>
      </c>
      <c r="I31" s="41">
        <f t="shared" si="4"/>
        <v>604476.73</v>
      </c>
      <c r="J31" s="41">
        <f t="shared" si="4"/>
        <v>535008.34000000008</v>
      </c>
      <c r="K31" s="41">
        <f t="shared" si="4"/>
        <v>605481.72</v>
      </c>
      <c r="L31" s="41">
        <f t="shared" si="4"/>
        <v>560594.95000000007</v>
      </c>
      <c r="M31" s="41">
        <f t="shared" si="4"/>
        <v>591037.24</v>
      </c>
      <c r="N31" s="41">
        <f t="shared" si="4"/>
        <v>503412.94</v>
      </c>
      <c r="O31" s="41">
        <f t="shared" si="4"/>
        <v>472704.04000000004</v>
      </c>
      <c r="P31" s="41">
        <f t="shared" si="4"/>
        <v>433754.33999999997</v>
      </c>
      <c r="Q31" s="41">
        <f t="shared" si="4"/>
        <v>387381.44</v>
      </c>
    </row>
    <row r="32" spans="2:17" x14ac:dyDescent="0.3">
      <c r="B32" s="37" t="s">
        <v>241</v>
      </c>
      <c r="C32" s="41">
        <f t="shared" ref="C32:Q32" si="5">C29</f>
        <v>474278.27</v>
      </c>
      <c r="D32" s="41">
        <f t="shared" si="5"/>
        <v>523882.02</v>
      </c>
      <c r="E32" s="41">
        <f t="shared" si="5"/>
        <v>894324.66</v>
      </c>
      <c r="F32" s="41">
        <f t="shared" si="5"/>
        <v>924000.04</v>
      </c>
      <c r="G32" s="41">
        <f t="shared" si="5"/>
        <v>891217.66999999993</v>
      </c>
      <c r="H32" s="41">
        <f t="shared" si="5"/>
        <v>887697.21000000008</v>
      </c>
      <c r="I32" s="41">
        <f t="shared" si="5"/>
        <v>604476.73</v>
      </c>
      <c r="J32" s="41">
        <f t="shared" si="5"/>
        <v>535008.34</v>
      </c>
      <c r="K32" s="41">
        <f t="shared" si="5"/>
        <v>605481.72</v>
      </c>
      <c r="L32" s="41">
        <f t="shared" si="5"/>
        <v>560594.95000000007</v>
      </c>
      <c r="M32" s="41">
        <f t="shared" si="5"/>
        <v>591037.24</v>
      </c>
      <c r="N32" s="41">
        <f t="shared" si="5"/>
        <v>503412.94</v>
      </c>
      <c r="O32" s="41">
        <f t="shared" si="5"/>
        <v>472704.04000000004</v>
      </c>
      <c r="P32" s="41">
        <f t="shared" si="5"/>
        <v>433754.34</v>
      </c>
      <c r="Q32" s="41">
        <f t="shared" si="5"/>
        <v>387381.44</v>
      </c>
    </row>
    <row r="33" spans="2:17" x14ac:dyDescent="0.3">
      <c r="B33" s="37" t="s">
        <v>134</v>
      </c>
      <c r="C33" s="44">
        <f t="shared" ref="C33:Q33" si="6">C14-C29</f>
        <v>0</v>
      </c>
      <c r="D33" s="44">
        <f t="shared" si="6"/>
        <v>0</v>
      </c>
      <c r="E33" s="44">
        <f t="shared" si="6"/>
        <v>0</v>
      </c>
      <c r="F33" s="44">
        <f t="shared" si="6"/>
        <v>0</v>
      </c>
      <c r="G33" s="44">
        <f t="shared" si="6"/>
        <v>0</v>
      </c>
      <c r="H33" s="44">
        <f t="shared" si="6"/>
        <v>0</v>
      </c>
      <c r="I33" s="44">
        <f t="shared" si="6"/>
        <v>0</v>
      </c>
      <c r="J33" s="44">
        <f t="shared" si="6"/>
        <v>0</v>
      </c>
      <c r="K33" s="44">
        <f t="shared" si="6"/>
        <v>0</v>
      </c>
      <c r="L33" s="44">
        <f t="shared" si="6"/>
        <v>0</v>
      </c>
      <c r="M33" s="44">
        <f t="shared" si="6"/>
        <v>0</v>
      </c>
      <c r="N33" s="44">
        <f t="shared" si="6"/>
        <v>0</v>
      </c>
      <c r="O33" s="44">
        <f t="shared" si="6"/>
        <v>0</v>
      </c>
      <c r="P33" s="44">
        <f t="shared" si="6"/>
        <v>0</v>
      </c>
      <c r="Q33" s="44">
        <f t="shared" si="6"/>
        <v>0</v>
      </c>
    </row>
    <row r="35" spans="2:17" x14ac:dyDescent="0.3">
      <c r="B35" s="42" t="s">
        <v>242</v>
      </c>
      <c r="C35" s="43">
        <f>'Balance Sheet'!C32</f>
        <v>474278.27</v>
      </c>
      <c r="D35" s="43">
        <f>'Balance Sheet'!D32</f>
        <v>523882.02</v>
      </c>
      <c r="E35" s="43">
        <f>'Balance Sheet'!E32</f>
        <v>894324.66</v>
      </c>
      <c r="F35" s="43">
        <f>'Balance Sheet'!F32</f>
        <v>924000.04</v>
      </c>
      <c r="G35" s="43">
        <f>'Balance Sheet'!G32</f>
        <v>891217.67</v>
      </c>
      <c r="H35" s="43">
        <f>'Balance Sheet'!H32</f>
        <v>887697.21</v>
      </c>
      <c r="I35" s="43">
        <f>'Balance Sheet'!I32</f>
        <v>604476.73</v>
      </c>
      <c r="J35" s="43">
        <f>'Balance Sheet'!J32</f>
        <v>535008.34</v>
      </c>
      <c r="K35" s="43">
        <f>'Balance Sheet'!K32</f>
        <v>605481.72</v>
      </c>
      <c r="L35" s="43">
        <f>'Balance Sheet'!L32</f>
        <v>560594.94999999995</v>
      </c>
      <c r="M35" s="43">
        <f>'Balance Sheet'!M32</f>
        <v>591037.24</v>
      </c>
      <c r="N35" s="43">
        <f>'Balance Sheet'!N32</f>
        <v>503412.94</v>
      </c>
      <c r="O35" s="43">
        <f>'Balance Sheet'!O32</f>
        <v>472704.04</v>
      </c>
      <c r="P35" s="43">
        <f>'Balance Sheet'!P32</f>
        <v>433754.34</v>
      </c>
      <c r="Q35" s="43">
        <f>'Balance Sheet'!Q32</f>
        <v>387381.44</v>
      </c>
    </row>
    <row r="36" spans="2:17" x14ac:dyDescent="0.3">
      <c r="B36" s="37" t="s">
        <v>134</v>
      </c>
      <c r="C36" s="44">
        <f t="shared" ref="C36:Q36" si="7">C14-C35</f>
        <v>0</v>
      </c>
      <c r="D36" s="44">
        <f t="shared" si="7"/>
        <v>0</v>
      </c>
      <c r="E36" s="44">
        <f t="shared" si="7"/>
        <v>0</v>
      </c>
      <c r="F36" s="44">
        <f t="shared" si="7"/>
        <v>0</v>
      </c>
      <c r="G36" s="44">
        <f t="shared" si="7"/>
        <v>0</v>
      </c>
      <c r="H36" s="44">
        <f t="shared" si="7"/>
        <v>0</v>
      </c>
      <c r="I36" s="44">
        <f t="shared" si="7"/>
        <v>0</v>
      </c>
      <c r="J36" s="44">
        <f t="shared" si="7"/>
        <v>0</v>
      </c>
      <c r="K36" s="44">
        <f t="shared" si="7"/>
        <v>0</v>
      </c>
      <c r="L36" s="44">
        <f t="shared" si="7"/>
        <v>0</v>
      </c>
      <c r="M36" s="44">
        <f t="shared" si="7"/>
        <v>0</v>
      </c>
      <c r="N36" s="44">
        <f t="shared" si="7"/>
        <v>0</v>
      </c>
      <c r="O36" s="44">
        <f t="shared" si="7"/>
        <v>0</v>
      </c>
      <c r="P36" s="44">
        <f t="shared" si="7"/>
        <v>0</v>
      </c>
      <c r="Q36" s="44">
        <f t="shared" si="7"/>
        <v>0</v>
      </c>
    </row>
    <row r="38" spans="2:17" x14ac:dyDescent="0.3">
      <c r="B38" s="42" t="s">
        <v>243</v>
      </c>
      <c r="C38" s="43">
        <f>'Balance Sheet'!C57</f>
        <v>151388.12</v>
      </c>
      <c r="D38" s="43">
        <f>'Balance Sheet'!D57</f>
        <v>169356.44</v>
      </c>
      <c r="E38" s="43">
        <f>'Balance Sheet'!E57</f>
        <v>471185.28</v>
      </c>
      <c r="F38" s="43">
        <f>'Balance Sheet'!F57</f>
        <v>496127.23</v>
      </c>
      <c r="G38" s="43">
        <f>'Balance Sheet'!G57</f>
        <v>438043.85</v>
      </c>
      <c r="H38" s="43">
        <f>'Balance Sheet'!H57</f>
        <v>396820.58</v>
      </c>
      <c r="I38" s="43">
        <f>'Balance Sheet'!I57</f>
        <v>382721.92</v>
      </c>
      <c r="J38" s="43">
        <f>'Balance Sheet'!J57</f>
        <v>302271.3</v>
      </c>
      <c r="K38" s="43">
        <f>'Balance Sheet'!K57</f>
        <v>303712.27</v>
      </c>
      <c r="L38" s="43">
        <f>'Balance Sheet'!L57</f>
        <v>260854.24</v>
      </c>
      <c r="M38" s="43">
        <f>'Balance Sheet'!M57</f>
        <v>204137.36</v>
      </c>
      <c r="N38" s="43">
        <f>'Balance Sheet'!N57</f>
        <v>139024.75</v>
      </c>
      <c r="O38" s="43">
        <f>'Balance Sheet'!O57</f>
        <v>131738.91</v>
      </c>
      <c r="P38" s="43">
        <f>'Balance Sheet'!P57</f>
        <v>75560.44</v>
      </c>
      <c r="Q38" s="43">
        <f>'Balance Sheet'!Q57</f>
        <v>33676.31</v>
      </c>
    </row>
    <row r="39" spans="2:17" x14ac:dyDescent="0.3">
      <c r="B39" s="37" t="s">
        <v>134</v>
      </c>
      <c r="C39" s="44">
        <f t="shared" ref="C39:Q39" si="8">C22-C38</f>
        <v>0</v>
      </c>
      <c r="D39" s="44">
        <f t="shared" si="8"/>
        <v>0</v>
      </c>
      <c r="E39" s="44">
        <f t="shared" si="8"/>
        <v>0</v>
      </c>
      <c r="F39" s="44">
        <f t="shared" si="8"/>
        <v>0</v>
      </c>
      <c r="G39" s="44">
        <f t="shared" si="8"/>
        <v>0</v>
      </c>
      <c r="H39" s="44">
        <f t="shared" si="8"/>
        <v>0</v>
      </c>
      <c r="I39" s="44">
        <f t="shared" si="8"/>
        <v>0</v>
      </c>
      <c r="J39" s="44">
        <f t="shared" si="8"/>
        <v>0</v>
      </c>
      <c r="K39" s="44">
        <f t="shared" si="8"/>
        <v>0</v>
      </c>
      <c r="L39" s="44">
        <f t="shared" si="8"/>
        <v>0</v>
      </c>
      <c r="M39" s="44">
        <f t="shared" si="8"/>
        <v>0</v>
      </c>
      <c r="N39" s="44">
        <f t="shared" si="8"/>
        <v>0</v>
      </c>
      <c r="O39" s="44">
        <f t="shared" si="8"/>
        <v>0</v>
      </c>
      <c r="P39" s="44">
        <f t="shared" si="8"/>
        <v>0</v>
      </c>
      <c r="Q39" s="44">
        <f t="shared" si="8"/>
        <v>0</v>
      </c>
    </row>
    <row r="41" spans="2:17" x14ac:dyDescent="0.3">
      <c r="B41" s="42" t="s">
        <v>244</v>
      </c>
      <c r="C41" s="43">
        <f>'Balance Sheet'!C71</f>
        <v>322890.15000000002</v>
      </c>
      <c r="D41" s="43">
        <f>'Balance Sheet'!D71</f>
        <v>354525.58</v>
      </c>
      <c r="E41" s="43">
        <f>'Balance Sheet'!E71</f>
        <v>423139.38</v>
      </c>
      <c r="F41" s="43">
        <f>'Balance Sheet'!F71</f>
        <v>427872.81</v>
      </c>
      <c r="G41" s="43">
        <f>'Balance Sheet'!G71</f>
        <v>453173.82</v>
      </c>
      <c r="H41" s="43">
        <f>'Balance Sheet'!H71</f>
        <v>490876.63</v>
      </c>
      <c r="I41" s="43">
        <f>'Balance Sheet'!I71</f>
        <v>221754.81</v>
      </c>
      <c r="J41" s="43">
        <f>'Balance Sheet'!J71</f>
        <v>232737.04</v>
      </c>
      <c r="K41" s="43">
        <f>'Balance Sheet'!K71</f>
        <v>301769.45</v>
      </c>
      <c r="L41" s="43">
        <f>'Balance Sheet'!L71</f>
        <v>299740.71000000002</v>
      </c>
      <c r="M41" s="43">
        <f>'Balance Sheet'!M71</f>
        <v>386899.88</v>
      </c>
      <c r="N41" s="43">
        <f>'Balance Sheet'!N71</f>
        <v>364388.19</v>
      </c>
      <c r="O41" s="43">
        <f>'Balance Sheet'!O71</f>
        <v>340965.13</v>
      </c>
      <c r="P41" s="43">
        <f>'Balance Sheet'!P71</f>
        <v>358193.9</v>
      </c>
      <c r="Q41" s="43">
        <f>'Balance Sheet'!Q71</f>
        <v>353705.13</v>
      </c>
    </row>
    <row r="42" spans="2:17" x14ac:dyDescent="0.3">
      <c r="B42" s="37" t="s">
        <v>134</v>
      </c>
      <c r="C42" s="44">
        <f t="shared" ref="C42:Q42" si="9">C27-C41</f>
        <v>0</v>
      </c>
      <c r="D42" s="44">
        <f t="shared" si="9"/>
        <v>0</v>
      </c>
      <c r="E42" s="44">
        <f t="shared" si="9"/>
        <v>0</v>
      </c>
      <c r="F42" s="44">
        <f t="shared" si="9"/>
        <v>0</v>
      </c>
      <c r="G42" s="44">
        <f t="shared" si="9"/>
        <v>0</v>
      </c>
      <c r="H42" s="44">
        <f t="shared" si="9"/>
        <v>0</v>
      </c>
      <c r="I42" s="44">
        <f t="shared" si="9"/>
        <v>0</v>
      </c>
      <c r="J42" s="44">
        <f t="shared" si="9"/>
        <v>0</v>
      </c>
      <c r="K42" s="44">
        <f t="shared" si="9"/>
        <v>0</v>
      </c>
      <c r="L42" s="44">
        <f t="shared" si="9"/>
        <v>0</v>
      </c>
      <c r="M42" s="44">
        <f t="shared" si="9"/>
        <v>0</v>
      </c>
      <c r="N42" s="44">
        <f t="shared" si="9"/>
        <v>0</v>
      </c>
      <c r="O42" s="44">
        <f t="shared" si="9"/>
        <v>0</v>
      </c>
      <c r="P42" s="44">
        <f t="shared" si="9"/>
        <v>0</v>
      </c>
      <c r="Q42" s="44">
        <f t="shared" si="9"/>
        <v>0</v>
      </c>
    </row>
  </sheetData>
  <conditionalFormatting sqref="B33:Q33">
    <cfRule type="cellIs" dxfId="23" priority="1" operator="notEqual">
      <formula>0</formula>
    </cfRule>
    <cfRule type="cellIs" dxfId="22" priority="2" operator="equal">
      <formula>0</formula>
    </cfRule>
  </conditionalFormatting>
  <conditionalFormatting sqref="B36:Q36">
    <cfRule type="cellIs" dxfId="21" priority="3" operator="notEqual">
      <formula>0</formula>
    </cfRule>
    <cfRule type="cellIs" dxfId="20" priority="4" operator="equal">
      <formula>0</formula>
    </cfRule>
  </conditionalFormatting>
  <conditionalFormatting sqref="B39:Q39">
    <cfRule type="cellIs" dxfId="19" priority="5" operator="notEqual">
      <formula>0</formula>
    </cfRule>
    <cfRule type="cellIs" dxfId="18" priority="6" operator="equal">
      <formula>0</formula>
    </cfRule>
  </conditionalFormatting>
  <conditionalFormatting sqref="B42:Q42">
    <cfRule type="cellIs" dxfId="17" priority="7" operator="notEqual">
      <formula>0</formula>
    </cfRule>
    <cfRule type="cellIs" dxfId="16" priority="8" operator="equal">
      <formula>0</formula>
    </cfRule>
  </conditionalFormatting>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7393C"/>
  </sheetPr>
  <dimension ref="A1"/>
  <sheetViews>
    <sheetView showGridLines="0" workbookViewId="0"/>
  </sheetViews>
  <sheetFormatPr defaultRowHeight="14.4" x14ac:dyDescent="0.3"/>
  <sheetData/>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590"/>
  <sheetViews>
    <sheetView showGridLines="0" workbookViewId="0">
      <pane ySplit="5" topLeftCell="A6" activePane="bottomLeft" state="frozen"/>
      <selection pane="bottomLeft"/>
    </sheetView>
  </sheetViews>
  <sheetFormatPr defaultRowHeight="14.4" x14ac:dyDescent="0.3"/>
  <cols>
    <col min="1" max="1" width="0.6640625" customWidth="1"/>
    <col min="2" max="2" width="14" customWidth="1"/>
    <col min="3" max="3" width="46.88671875" bestFit="1" customWidth="1"/>
    <col min="4" max="4" width="22" customWidth="1"/>
    <col min="5" max="5" width="8.77734375" bestFit="1" customWidth="1"/>
    <col min="6" max="6" width="10.77734375" bestFit="1" customWidth="1"/>
    <col min="7" max="7" width="30" customWidth="1"/>
    <col min="8" max="8" width="34" customWidth="1"/>
  </cols>
  <sheetData>
    <row r="1" spans="1:8" x14ac:dyDescent="0.3">
      <c r="A1" s="1" t="s">
        <v>386</v>
      </c>
      <c r="B1" s="2"/>
      <c r="C1" s="2"/>
      <c r="D1" s="2"/>
      <c r="E1" s="2"/>
      <c r="F1" s="2"/>
    </row>
    <row r="2" spans="1:8" x14ac:dyDescent="0.3">
      <c r="A2" s="3" t="s">
        <v>245</v>
      </c>
      <c r="B2" s="2"/>
      <c r="C2" s="2"/>
      <c r="D2" s="2"/>
      <c r="E2" s="2"/>
      <c r="F2" s="2"/>
    </row>
    <row r="3" spans="1:8" x14ac:dyDescent="0.3">
      <c r="A3" s="2"/>
      <c r="B3" s="2"/>
      <c r="C3" s="2"/>
      <c r="D3" s="2"/>
      <c r="E3" s="2"/>
      <c r="F3" s="2"/>
    </row>
    <row r="4" spans="1:8" x14ac:dyDescent="0.3">
      <c r="A4" s="2"/>
      <c r="B4" s="2"/>
      <c r="C4" s="2"/>
      <c r="D4" s="2"/>
      <c r="E4" s="2"/>
      <c r="F4" s="2"/>
    </row>
    <row r="5" spans="1:8" x14ac:dyDescent="0.3">
      <c r="A5" s="2"/>
      <c r="B5" s="4" t="s">
        <v>246</v>
      </c>
      <c r="C5" s="5" t="s">
        <v>247</v>
      </c>
      <c r="D5" s="5" t="s">
        <v>248</v>
      </c>
      <c r="E5" s="5" t="s">
        <v>249</v>
      </c>
      <c r="F5" s="5" t="s">
        <v>250</v>
      </c>
      <c r="G5" s="36" t="s">
        <v>447</v>
      </c>
      <c r="H5" s="36" t="s">
        <v>448</v>
      </c>
    </row>
    <row r="6" spans="1:8" x14ac:dyDescent="0.3">
      <c r="A6" s="2"/>
      <c r="B6" s="6">
        <v>45688</v>
      </c>
      <c r="C6" s="3" t="s">
        <v>551</v>
      </c>
      <c r="D6" s="3" t="s">
        <v>34</v>
      </c>
      <c r="E6" s="3" t="s">
        <v>492</v>
      </c>
      <c r="F6" s="7">
        <v>43672.06</v>
      </c>
      <c r="G6" t="s">
        <v>492</v>
      </c>
      <c r="H6" t="s">
        <v>208</v>
      </c>
    </row>
    <row r="7" spans="1:8" x14ac:dyDescent="0.3">
      <c r="A7" s="2"/>
      <c r="B7" s="6">
        <v>45688</v>
      </c>
      <c r="C7" s="3" t="s">
        <v>560</v>
      </c>
      <c r="D7" s="3" t="s">
        <v>34</v>
      </c>
      <c r="E7" s="3" t="s">
        <v>491</v>
      </c>
      <c r="F7" s="7">
        <v>23065.200000000001</v>
      </c>
      <c r="G7" t="s">
        <v>491</v>
      </c>
      <c r="H7" t="s">
        <v>208</v>
      </c>
    </row>
    <row r="8" spans="1:8" x14ac:dyDescent="0.3">
      <c r="A8" s="2"/>
      <c r="B8" s="6">
        <v>45688</v>
      </c>
      <c r="C8" s="3" t="s">
        <v>561</v>
      </c>
      <c r="D8" s="3" t="s">
        <v>34</v>
      </c>
      <c r="E8" s="3" t="s">
        <v>491</v>
      </c>
      <c r="F8" s="7">
        <v>13269.74</v>
      </c>
      <c r="G8" t="s">
        <v>491</v>
      </c>
      <c r="H8" t="s">
        <v>208</v>
      </c>
    </row>
    <row r="9" spans="1:8" x14ac:dyDescent="0.3">
      <c r="A9" s="2"/>
      <c r="B9" s="6">
        <v>45688</v>
      </c>
      <c r="C9" s="3" t="s">
        <v>35</v>
      </c>
      <c r="D9" s="3" t="s">
        <v>34</v>
      </c>
      <c r="E9" s="3" t="s">
        <v>491</v>
      </c>
      <c r="F9" s="7">
        <v>687.5</v>
      </c>
      <c r="G9" t="s">
        <v>209</v>
      </c>
      <c r="H9" t="s">
        <v>208</v>
      </c>
    </row>
    <row r="10" spans="1:8" x14ac:dyDescent="0.3">
      <c r="A10" s="2"/>
      <c r="B10" s="6">
        <v>45688</v>
      </c>
      <c r="C10" s="3" t="s">
        <v>552</v>
      </c>
      <c r="D10" s="3" t="s">
        <v>37</v>
      </c>
      <c r="E10" s="3" t="s">
        <v>492</v>
      </c>
      <c r="F10" s="7">
        <v>1290</v>
      </c>
      <c r="G10" t="s">
        <v>550</v>
      </c>
      <c r="H10" t="s">
        <v>211</v>
      </c>
    </row>
    <row r="11" spans="1:8" x14ac:dyDescent="0.3">
      <c r="A11" s="2"/>
      <c r="B11" s="6">
        <v>45688</v>
      </c>
      <c r="C11" s="3" t="s">
        <v>552</v>
      </c>
      <c r="D11" s="3" t="s">
        <v>37</v>
      </c>
      <c r="E11" s="3" t="s">
        <v>491</v>
      </c>
      <c r="F11" s="7">
        <v>7206.54</v>
      </c>
      <c r="G11" t="s">
        <v>550</v>
      </c>
      <c r="H11" t="s">
        <v>211</v>
      </c>
    </row>
    <row r="12" spans="1:8" x14ac:dyDescent="0.3">
      <c r="A12" s="2"/>
      <c r="B12" s="6">
        <v>45688</v>
      </c>
      <c r="C12" s="3" t="s">
        <v>39</v>
      </c>
      <c r="D12" s="3" t="s">
        <v>37</v>
      </c>
      <c r="E12" s="3" t="s">
        <v>492</v>
      </c>
      <c r="F12" s="7">
        <v>18277.310000000001</v>
      </c>
      <c r="G12" t="s">
        <v>212</v>
      </c>
      <c r="H12" t="s">
        <v>211</v>
      </c>
    </row>
    <row r="13" spans="1:8" x14ac:dyDescent="0.3">
      <c r="A13" s="2"/>
      <c r="B13" s="6">
        <v>45688</v>
      </c>
      <c r="C13" s="3" t="s">
        <v>39</v>
      </c>
      <c r="D13" s="3" t="s">
        <v>37</v>
      </c>
      <c r="E13" s="3" t="s">
        <v>491</v>
      </c>
      <c r="F13" s="7">
        <v>53129.91</v>
      </c>
      <c r="G13" t="s">
        <v>212</v>
      </c>
      <c r="H13" t="s">
        <v>211</v>
      </c>
    </row>
    <row r="14" spans="1:8" x14ac:dyDescent="0.3">
      <c r="A14" s="2"/>
      <c r="B14" s="6">
        <v>45688</v>
      </c>
      <c r="C14" s="3" t="s">
        <v>543</v>
      </c>
      <c r="D14" s="3" t="s">
        <v>37</v>
      </c>
      <c r="E14" s="3" t="s">
        <v>491</v>
      </c>
      <c r="F14" s="7">
        <v>3537.78</v>
      </c>
      <c r="G14" t="s">
        <v>212</v>
      </c>
      <c r="H14" t="s">
        <v>211</v>
      </c>
    </row>
    <row r="15" spans="1:8" x14ac:dyDescent="0.3">
      <c r="A15" s="2"/>
      <c r="B15" s="6">
        <v>45688</v>
      </c>
      <c r="C15" s="3" t="s">
        <v>543</v>
      </c>
      <c r="D15" s="3" t="s">
        <v>37</v>
      </c>
      <c r="E15" s="3" t="s">
        <v>492</v>
      </c>
      <c r="F15" s="7">
        <v>1217.04</v>
      </c>
      <c r="G15" t="s">
        <v>212</v>
      </c>
      <c r="H15" t="s">
        <v>211</v>
      </c>
    </row>
    <row r="16" spans="1:8" x14ac:dyDescent="0.3">
      <c r="A16" s="2"/>
      <c r="B16" s="6">
        <v>45688</v>
      </c>
      <c r="C16" s="3" t="s">
        <v>41</v>
      </c>
      <c r="D16" s="3" t="s">
        <v>37</v>
      </c>
      <c r="E16" s="3" t="s">
        <v>492</v>
      </c>
      <c r="F16" s="7">
        <v>3.89</v>
      </c>
      <c r="G16" t="s">
        <v>212</v>
      </c>
      <c r="H16" t="s">
        <v>211</v>
      </c>
    </row>
    <row r="17" spans="1:8" x14ac:dyDescent="0.3">
      <c r="A17" s="2"/>
      <c r="B17" s="6">
        <v>45688</v>
      </c>
      <c r="C17" s="3" t="s">
        <v>41</v>
      </c>
      <c r="D17" s="3" t="s">
        <v>37</v>
      </c>
      <c r="E17" s="3" t="s">
        <v>491</v>
      </c>
      <c r="F17" s="7">
        <v>11.3</v>
      </c>
      <c r="G17" t="s">
        <v>212</v>
      </c>
      <c r="H17" t="s">
        <v>211</v>
      </c>
    </row>
    <row r="18" spans="1:8" x14ac:dyDescent="0.3">
      <c r="A18" s="2"/>
      <c r="B18" s="6">
        <v>45688</v>
      </c>
      <c r="C18" s="3" t="s">
        <v>42</v>
      </c>
      <c r="D18" s="3" t="s">
        <v>37</v>
      </c>
      <c r="E18" s="3" t="s">
        <v>492</v>
      </c>
      <c r="F18" s="7">
        <v>247.1</v>
      </c>
      <c r="G18" t="s">
        <v>212</v>
      </c>
      <c r="H18" t="s">
        <v>211</v>
      </c>
    </row>
    <row r="19" spans="1:8" x14ac:dyDescent="0.3">
      <c r="A19" s="2"/>
      <c r="B19" s="6">
        <v>45688</v>
      </c>
      <c r="C19" s="3" t="s">
        <v>42</v>
      </c>
      <c r="D19" s="3" t="s">
        <v>37</v>
      </c>
      <c r="E19" s="3" t="s">
        <v>491</v>
      </c>
      <c r="F19" s="7">
        <v>718.3</v>
      </c>
      <c r="G19" t="s">
        <v>212</v>
      </c>
      <c r="H19" t="s">
        <v>211</v>
      </c>
    </row>
    <row r="20" spans="1:8" x14ac:dyDescent="0.3">
      <c r="A20" s="2"/>
      <c r="B20" s="6">
        <v>45688</v>
      </c>
      <c r="C20" s="3" t="s">
        <v>45</v>
      </c>
      <c r="D20" s="3" t="s">
        <v>37</v>
      </c>
      <c r="E20" s="3" t="s">
        <v>492</v>
      </c>
      <c r="F20" s="7">
        <v>1925.46</v>
      </c>
      <c r="G20" t="s">
        <v>212</v>
      </c>
      <c r="H20" t="s">
        <v>211</v>
      </c>
    </row>
    <row r="21" spans="1:8" x14ac:dyDescent="0.3">
      <c r="A21" s="2"/>
      <c r="B21" s="6">
        <v>45688</v>
      </c>
      <c r="C21" s="3" t="s">
        <v>45</v>
      </c>
      <c r="D21" s="3" t="s">
        <v>37</v>
      </c>
      <c r="E21" s="3" t="s">
        <v>491</v>
      </c>
      <c r="F21" s="7">
        <v>5597.08</v>
      </c>
      <c r="G21" t="s">
        <v>212</v>
      </c>
      <c r="H21" t="s">
        <v>211</v>
      </c>
    </row>
    <row r="22" spans="1:8" x14ac:dyDescent="0.3">
      <c r="A22" s="2"/>
      <c r="B22" s="6">
        <v>45688</v>
      </c>
      <c r="C22" s="3" t="s">
        <v>51</v>
      </c>
      <c r="D22" s="3" t="s">
        <v>251</v>
      </c>
      <c r="E22" s="3" t="s">
        <v>252</v>
      </c>
      <c r="F22" s="7">
        <v>32055.41</v>
      </c>
      <c r="G22" t="s">
        <v>218</v>
      </c>
      <c r="H22" t="s">
        <v>216</v>
      </c>
    </row>
    <row r="23" spans="1:8" x14ac:dyDescent="0.3">
      <c r="A23" s="2"/>
      <c r="B23" s="6">
        <v>45688</v>
      </c>
      <c r="C23" s="3" t="s">
        <v>53</v>
      </c>
      <c r="D23" s="3" t="s">
        <v>251</v>
      </c>
      <c r="E23" s="3" t="s">
        <v>252</v>
      </c>
      <c r="F23" s="7">
        <v>24486.87</v>
      </c>
      <c r="G23" t="s">
        <v>218</v>
      </c>
      <c r="H23" t="s">
        <v>216</v>
      </c>
    </row>
    <row r="24" spans="1:8" x14ac:dyDescent="0.3">
      <c r="A24" s="2"/>
      <c r="B24" s="6">
        <v>45688</v>
      </c>
      <c r="C24" s="3" t="s">
        <v>544</v>
      </c>
      <c r="D24" s="3" t="s">
        <v>251</v>
      </c>
      <c r="E24" s="3" t="s">
        <v>252</v>
      </c>
      <c r="F24" s="7">
        <v>2134.4899999999998</v>
      </c>
      <c r="G24" t="s">
        <v>218</v>
      </c>
      <c r="H24" t="s">
        <v>216</v>
      </c>
    </row>
    <row r="25" spans="1:8" x14ac:dyDescent="0.3">
      <c r="A25" s="2"/>
      <c r="B25" s="6">
        <v>45688</v>
      </c>
      <c r="C25" s="3" t="s">
        <v>54</v>
      </c>
      <c r="D25" s="3" t="s">
        <v>251</v>
      </c>
      <c r="E25" s="3" t="s">
        <v>252</v>
      </c>
      <c r="F25" s="7">
        <v>6.82</v>
      </c>
      <c r="G25" t="s">
        <v>218</v>
      </c>
      <c r="H25" t="s">
        <v>216</v>
      </c>
    </row>
    <row r="26" spans="1:8" x14ac:dyDescent="0.3">
      <c r="A26" s="2"/>
      <c r="B26" s="6">
        <v>45688</v>
      </c>
      <c r="C26" s="3" t="s">
        <v>55</v>
      </c>
      <c r="D26" s="3" t="s">
        <v>251</v>
      </c>
      <c r="E26" s="3" t="s">
        <v>252</v>
      </c>
      <c r="F26" s="7">
        <v>433.38</v>
      </c>
      <c r="G26" t="s">
        <v>218</v>
      </c>
      <c r="H26" t="s">
        <v>216</v>
      </c>
    </row>
    <row r="27" spans="1:8" x14ac:dyDescent="0.3">
      <c r="A27" s="2"/>
      <c r="B27" s="6">
        <v>45688</v>
      </c>
      <c r="C27" s="3" t="s">
        <v>58</v>
      </c>
      <c r="D27" s="3" t="s">
        <v>251</v>
      </c>
      <c r="E27" s="3" t="s">
        <v>252</v>
      </c>
      <c r="F27" s="7">
        <v>3376.94</v>
      </c>
      <c r="G27" t="s">
        <v>218</v>
      </c>
      <c r="H27" t="s">
        <v>216</v>
      </c>
    </row>
    <row r="28" spans="1:8" x14ac:dyDescent="0.3">
      <c r="A28" s="2"/>
      <c r="B28" s="6">
        <v>45688</v>
      </c>
      <c r="C28" s="3" t="s">
        <v>67</v>
      </c>
      <c r="D28" s="3" t="s">
        <v>251</v>
      </c>
      <c r="E28" s="3" t="s">
        <v>252</v>
      </c>
      <c r="F28" s="7">
        <v>100</v>
      </c>
      <c r="G28" t="s">
        <v>219</v>
      </c>
      <c r="H28" t="s">
        <v>216</v>
      </c>
    </row>
    <row r="29" spans="1:8" x14ac:dyDescent="0.3">
      <c r="A29" s="2"/>
      <c r="B29" s="6">
        <v>45688</v>
      </c>
      <c r="C29" s="3" t="s">
        <v>68</v>
      </c>
      <c r="D29" s="3" t="s">
        <v>251</v>
      </c>
      <c r="E29" s="3" t="s">
        <v>252</v>
      </c>
      <c r="F29" s="7">
        <v>373.31</v>
      </c>
      <c r="G29" t="s">
        <v>219</v>
      </c>
      <c r="H29" t="s">
        <v>216</v>
      </c>
    </row>
    <row r="30" spans="1:8" x14ac:dyDescent="0.3">
      <c r="A30" s="2"/>
      <c r="B30" s="6">
        <v>45688</v>
      </c>
      <c r="C30" s="3" t="s">
        <v>70</v>
      </c>
      <c r="D30" s="3" t="s">
        <v>251</v>
      </c>
      <c r="E30" s="3" t="s">
        <v>252</v>
      </c>
      <c r="F30" s="7">
        <v>1000</v>
      </c>
      <c r="G30" t="s">
        <v>219</v>
      </c>
      <c r="H30" t="s">
        <v>216</v>
      </c>
    </row>
    <row r="31" spans="1:8" x14ac:dyDescent="0.3">
      <c r="A31" s="2"/>
      <c r="B31" s="6">
        <v>45688</v>
      </c>
      <c r="C31" s="3" t="s">
        <v>75</v>
      </c>
      <c r="D31" s="3" t="s">
        <v>251</v>
      </c>
      <c r="E31" s="3" t="s">
        <v>252</v>
      </c>
      <c r="F31" s="7">
        <v>911.31</v>
      </c>
      <c r="G31" t="s">
        <v>220</v>
      </c>
      <c r="H31" t="s">
        <v>216</v>
      </c>
    </row>
    <row r="32" spans="1:8" x14ac:dyDescent="0.3">
      <c r="A32" s="2"/>
      <c r="B32" s="6">
        <v>45688</v>
      </c>
      <c r="C32" s="3" t="s">
        <v>76</v>
      </c>
      <c r="D32" s="3" t="s">
        <v>251</v>
      </c>
      <c r="E32" s="3" t="s">
        <v>252</v>
      </c>
      <c r="F32" s="7">
        <v>454.92</v>
      </c>
      <c r="G32" t="s">
        <v>220</v>
      </c>
      <c r="H32" t="s">
        <v>216</v>
      </c>
    </row>
    <row r="33" spans="1:8" x14ac:dyDescent="0.3">
      <c r="A33" s="2"/>
      <c r="B33" s="6">
        <v>45688</v>
      </c>
      <c r="C33" s="3" t="s">
        <v>77</v>
      </c>
      <c r="D33" s="3" t="s">
        <v>251</v>
      </c>
      <c r="E33" s="3" t="s">
        <v>252</v>
      </c>
      <c r="F33" s="7">
        <v>591.05999999999995</v>
      </c>
      <c r="G33" t="s">
        <v>220</v>
      </c>
      <c r="H33" t="s">
        <v>216</v>
      </c>
    </row>
    <row r="34" spans="1:8" x14ac:dyDescent="0.3">
      <c r="A34" s="2"/>
      <c r="B34" s="6">
        <v>45688</v>
      </c>
      <c r="C34" s="3" t="s">
        <v>78</v>
      </c>
      <c r="D34" s="3" t="s">
        <v>251</v>
      </c>
      <c r="E34" s="3" t="s">
        <v>252</v>
      </c>
      <c r="F34" s="7">
        <v>176.29</v>
      </c>
      <c r="G34" t="s">
        <v>220</v>
      </c>
      <c r="H34" t="s">
        <v>216</v>
      </c>
    </row>
    <row r="35" spans="1:8" x14ac:dyDescent="0.3">
      <c r="A35" s="2"/>
      <c r="B35" s="6">
        <v>45688</v>
      </c>
      <c r="C35" s="3" t="s">
        <v>92</v>
      </c>
      <c r="D35" s="3" t="s">
        <v>251</v>
      </c>
      <c r="E35" s="3" t="s">
        <v>252</v>
      </c>
      <c r="F35" s="7">
        <v>1131.44</v>
      </c>
      <c r="G35" t="s">
        <v>222</v>
      </c>
      <c r="H35" t="s">
        <v>216</v>
      </c>
    </row>
    <row r="36" spans="1:8" x14ac:dyDescent="0.3">
      <c r="A36" s="2"/>
      <c r="B36" s="6">
        <v>45688</v>
      </c>
      <c r="C36" s="3" t="s">
        <v>93</v>
      </c>
      <c r="D36" s="3" t="s">
        <v>251</v>
      </c>
      <c r="E36" s="3" t="s">
        <v>252</v>
      </c>
      <c r="F36" s="7">
        <v>12.45</v>
      </c>
      <c r="G36" t="s">
        <v>222</v>
      </c>
      <c r="H36" t="s">
        <v>216</v>
      </c>
    </row>
    <row r="37" spans="1:8" x14ac:dyDescent="0.3">
      <c r="A37" s="2"/>
      <c r="B37" s="6">
        <v>45688</v>
      </c>
      <c r="C37" s="3" t="s">
        <v>95</v>
      </c>
      <c r="D37" s="3" t="s">
        <v>251</v>
      </c>
      <c r="E37" s="3" t="s">
        <v>252</v>
      </c>
      <c r="F37" s="7">
        <v>700</v>
      </c>
      <c r="G37" t="s">
        <v>222</v>
      </c>
      <c r="H37" t="s">
        <v>216</v>
      </c>
    </row>
    <row r="38" spans="1:8" x14ac:dyDescent="0.3">
      <c r="A38" s="2"/>
      <c r="B38" s="6">
        <v>45688</v>
      </c>
      <c r="C38" s="3" t="s">
        <v>99</v>
      </c>
      <c r="D38" s="3" t="s">
        <v>251</v>
      </c>
      <c r="E38" s="3" t="s">
        <v>252</v>
      </c>
      <c r="F38" s="7">
        <v>677.1</v>
      </c>
      <c r="G38" t="s">
        <v>126</v>
      </c>
      <c r="H38" t="s">
        <v>216</v>
      </c>
    </row>
    <row r="39" spans="1:8" x14ac:dyDescent="0.3">
      <c r="A39" s="2"/>
      <c r="B39" s="6">
        <v>45688</v>
      </c>
      <c r="C39" s="3" t="s">
        <v>99</v>
      </c>
      <c r="D39" s="3" t="s">
        <v>251</v>
      </c>
      <c r="E39" s="3" t="s">
        <v>491</v>
      </c>
      <c r="F39" s="7">
        <v>52.7</v>
      </c>
      <c r="G39" t="s">
        <v>126</v>
      </c>
      <c r="H39" t="s">
        <v>216</v>
      </c>
    </row>
    <row r="40" spans="1:8" x14ac:dyDescent="0.3">
      <c r="A40" s="2"/>
      <c r="B40" s="6">
        <v>45688</v>
      </c>
      <c r="C40" s="3" t="s">
        <v>101</v>
      </c>
      <c r="D40" s="3" t="s">
        <v>251</v>
      </c>
      <c r="E40" s="3" t="s">
        <v>252</v>
      </c>
      <c r="F40" s="7">
        <v>790</v>
      </c>
      <c r="G40" t="s">
        <v>217</v>
      </c>
      <c r="H40" t="s">
        <v>216</v>
      </c>
    </row>
    <row r="41" spans="1:8" x14ac:dyDescent="0.3">
      <c r="A41" s="2"/>
      <c r="B41" s="6">
        <v>45688</v>
      </c>
      <c r="C41" s="3" t="s">
        <v>102</v>
      </c>
      <c r="D41" s="3" t="s">
        <v>251</v>
      </c>
      <c r="E41" s="3" t="s">
        <v>252</v>
      </c>
      <c r="F41" s="7">
        <v>556.6</v>
      </c>
      <c r="G41" t="s">
        <v>217</v>
      </c>
      <c r="H41" t="s">
        <v>216</v>
      </c>
    </row>
    <row r="42" spans="1:8" x14ac:dyDescent="0.3">
      <c r="A42" s="2"/>
      <c r="B42" s="6">
        <v>45688</v>
      </c>
      <c r="C42" s="3" t="s">
        <v>105</v>
      </c>
      <c r="D42" s="3" t="s">
        <v>251</v>
      </c>
      <c r="E42" s="3" t="s">
        <v>252</v>
      </c>
      <c r="F42" s="7">
        <v>342.67</v>
      </c>
      <c r="G42" t="s">
        <v>217</v>
      </c>
      <c r="H42" t="s">
        <v>216</v>
      </c>
    </row>
    <row r="43" spans="1:8" x14ac:dyDescent="0.3">
      <c r="A43" s="2"/>
      <c r="B43" s="6">
        <v>45688</v>
      </c>
      <c r="C43" s="3" t="s">
        <v>110</v>
      </c>
      <c r="D43" s="3" t="s">
        <v>251</v>
      </c>
      <c r="E43" s="3" t="s">
        <v>252</v>
      </c>
      <c r="F43" s="7">
        <v>-260.79000000000002</v>
      </c>
      <c r="G43" t="s">
        <v>217</v>
      </c>
      <c r="H43" t="s">
        <v>216</v>
      </c>
    </row>
    <row r="44" spans="1:8" x14ac:dyDescent="0.3">
      <c r="A44" s="2"/>
      <c r="B44" s="6">
        <v>45688</v>
      </c>
      <c r="C44" s="3" t="s">
        <v>119</v>
      </c>
      <c r="D44" s="3" t="s">
        <v>251</v>
      </c>
      <c r="E44" s="3" t="s">
        <v>252</v>
      </c>
      <c r="F44" s="7">
        <v>299</v>
      </c>
      <c r="G44" t="s">
        <v>225</v>
      </c>
      <c r="H44" t="s">
        <v>216</v>
      </c>
    </row>
    <row r="45" spans="1:8" x14ac:dyDescent="0.3">
      <c r="A45" s="2"/>
      <c r="B45" s="6">
        <v>45716</v>
      </c>
      <c r="C45" s="3" t="s">
        <v>551</v>
      </c>
      <c r="D45" s="3" t="s">
        <v>34</v>
      </c>
      <c r="E45" s="3" t="s">
        <v>492</v>
      </c>
      <c r="F45" s="7">
        <v>79597.850000000006</v>
      </c>
      <c r="G45" t="s">
        <v>492</v>
      </c>
      <c r="H45" t="s">
        <v>208</v>
      </c>
    </row>
    <row r="46" spans="1:8" x14ac:dyDescent="0.3">
      <c r="A46" s="2"/>
      <c r="B46" s="6">
        <v>45716</v>
      </c>
      <c r="C46" s="3" t="s">
        <v>560</v>
      </c>
      <c r="D46" s="3" t="s">
        <v>34</v>
      </c>
      <c r="E46" s="3" t="s">
        <v>491</v>
      </c>
      <c r="F46" s="7">
        <v>74709.81</v>
      </c>
      <c r="G46" t="s">
        <v>491</v>
      </c>
      <c r="H46" t="s">
        <v>208</v>
      </c>
    </row>
    <row r="47" spans="1:8" x14ac:dyDescent="0.3">
      <c r="A47" s="2"/>
      <c r="B47" s="6">
        <v>45716</v>
      </c>
      <c r="C47" s="3" t="s">
        <v>561</v>
      </c>
      <c r="D47" s="3" t="s">
        <v>34</v>
      </c>
      <c r="E47" s="3" t="s">
        <v>491</v>
      </c>
      <c r="F47" s="7">
        <v>28142.15</v>
      </c>
      <c r="G47" t="s">
        <v>491</v>
      </c>
      <c r="H47" t="s">
        <v>208</v>
      </c>
    </row>
    <row r="48" spans="1:8" x14ac:dyDescent="0.3">
      <c r="A48" s="2"/>
      <c r="B48" s="6">
        <v>45716</v>
      </c>
      <c r="C48" s="3" t="s">
        <v>35</v>
      </c>
      <c r="D48" s="3" t="s">
        <v>34</v>
      </c>
      <c r="E48" s="3" t="s">
        <v>491</v>
      </c>
      <c r="F48" s="7">
        <v>1530</v>
      </c>
      <c r="G48" t="s">
        <v>209</v>
      </c>
      <c r="H48" t="s">
        <v>208</v>
      </c>
    </row>
    <row r="49" spans="1:8" x14ac:dyDescent="0.3">
      <c r="A49" s="2"/>
      <c r="B49" s="6">
        <v>45716</v>
      </c>
      <c r="C49" s="3" t="s">
        <v>552</v>
      </c>
      <c r="D49" s="3" t="s">
        <v>37</v>
      </c>
      <c r="E49" s="3" t="s">
        <v>492</v>
      </c>
      <c r="F49" s="7">
        <v>12070</v>
      </c>
      <c r="G49" t="s">
        <v>550</v>
      </c>
      <c r="H49" t="s">
        <v>211</v>
      </c>
    </row>
    <row r="50" spans="1:8" x14ac:dyDescent="0.3">
      <c r="A50" s="2"/>
      <c r="B50" s="6">
        <v>45716</v>
      </c>
      <c r="C50" s="3" t="s">
        <v>552</v>
      </c>
      <c r="D50" s="3" t="s">
        <v>37</v>
      </c>
      <c r="E50" s="3" t="s">
        <v>491</v>
      </c>
      <c r="F50" s="7">
        <v>13078.82</v>
      </c>
      <c r="G50" t="s">
        <v>550</v>
      </c>
      <c r="H50" t="s">
        <v>211</v>
      </c>
    </row>
    <row r="51" spans="1:8" x14ac:dyDescent="0.3">
      <c r="A51" s="2"/>
      <c r="B51" s="6">
        <v>45716</v>
      </c>
      <c r="C51" s="3" t="s">
        <v>39</v>
      </c>
      <c r="D51" s="3" t="s">
        <v>37</v>
      </c>
      <c r="E51" s="3" t="s">
        <v>491</v>
      </c>
      <c r="F51" s="7">
        <v>36976.94</v>
      </c>
      <c r="G51" t="s">
        <v>212</v>
      </c>
      <c r="H51" t="s">
        <v>211</v>
      </c>
    </row>
    <row r="52" spans="1:8" x14ac:dyDescent="0.3">
      <c r="A52" s="2"/>
      <c r="B52" s="6">
        <v>45716</v>
      </c>
      <c r="C52" s="3" t="s">
        <v>39</v>
      </c>
      <c r="D52" s="3" t="s">
        <v>37</v>
      </c>
      <c r="E52" s="3" t="s">
        <v>492</v>
      </c>
      <c r="F52" s="7">
        <v>12720.5</v>
      </c>
      <c r="G52" t="s">
        <v>212</v>
      </c>
      <c r="H52" t="s">
        <v>211</v>
      </c>
    </row>
    <row r="53" spans="1:8" x14ac:dyDescent="0.3">
      <c r="A53" s="2"/>
      <c r="B53" s="6">
        <v>45716</v>
      </c>
      <c r="C53" s="3" t="s">
        <v>543</v>
      </c>
      <c r="D53" s="3" t="s">
        <v>37</v>
      </c>
      <c r="E53" s="3" t="s">
        <v>491</v>
      </c>
      <c r="F53" s="7">
        <v>10454.02</v>
      </c>
      <c r="G53" t="s">
        <v>212</v>
      </c>
      <c r="H53" t="s">
        <v>211</v>
      </c>
    </row>
    <row r="54" spans="1:8" x14ac:dyDescent="0.3">
      <c r="A54" s="2"/>
      <c r="B54" s="6">
        <v>45716</v>
      </c>
      <c r="C54" s="3" t="s">
        <v>543</v>
      </c>
      <c r="D54" s="3" t="s">
        <v>37</v>
      </c>
      <c r="E54" s="3" t="s">
        <v>492</v>
      </c>
      <c r="F54" s="7">
        <v>3596.3</v>
      </c>
      <c r="G54" t="s">
        <v>212</v>
      </c>
      <c r="H54" t="s">
        <v>211</v>
      </c>
    </row>
    <row r="55" spans="1:8" x14ac:dyDescent="0.3">
      <c r="A55" s="2"/>
      <c r="B55" s="6">
        <v>45716</v>
      </c>
      <c r="C55" s="3" t="s">
        <v>45</v>
      </c>
      <c r="D55" s="3" t="s">
        <v>37</v>
      </c>
      <c r="E55" s="3" t="s">
        <v>492</v>
      </c>
      <c r="F55" s="7">
        <v>1161.68</v>
      </c>
      <c r="G55" t="s">
        <v>212</v>
      </c>
      <c r="H55" t="s">
        <v>211</v>
      </c>
    </row>
    <row r="56" spans="1:8" x14ac:dyDescent="0.3">
      <c r="A56" s="2"/>
      <c r="B56" s="6">
        <v>45716</v>
      </c>
      <c r="C56" s="3" t="s">
        <v>45</v>
      </c>
      <c r="D56" s="3" t="s">
        <v>37</v>
      </c>
      <c r="E56" s="3" t="s">
        <v>491</v>
      </c>
      <c r="F56" s="7">
        <v>3376.86</v>
      </c>
      <c r="G56" t="s">
        <v>212</v>
      </c>
      <c r="H56" t="s">
        <v>211</v>
      </c>
    </row>
    <row r="57" spans="1:8" x14ac:dyDescent="0.3">
      <c r="A57" s="2"/>
      <c r="B57" s="6">
        <v>45716</v>
      </c>
      <c r="C57" s="3" t="s">
        <v>51</v>
      </c>
      <c r="D57" s="3" t="s">
        <v>251</v>
      </c>
      <c r="E57" s="3" t="s">
        <v>252</v>
      </c>
      <c r="F57" s="7">
        <v>22309.67</v>
      </c>
      <c r="G57" t="s">
        <v>218</v>
      </c>
      <c r="H57" t="s">
        <v>216</v>
      </c>
    </row>
    <row r="58" spans="1:8" x14ac:dyDescent="0.3">
      <c r="A58" s="2"/>
      <c r="B58" s="6">
        <v>45716</v>
      </c>
      <c r="C58" s="3" t="s">
        <v>53</v>
      </c>
      <c r="D58" s="3" t="s">
        <v>251</v>
      </c>
      <c r="E58" s="3" t="s">
        <v>252</v>
      </c>
      <c r="F58" s="7">
        <v>16324.58</v>
      </c>
      <c r="G58" t="s">
        <v>218</v>
      </c>
      <c r="H58" t="s">
        <v>216</v>
      </c>
    </row>
    <row r="59" spans="1:8" x14ac:dyDescent="0.3">
      <c r="A59" s="2"/>
      <c r="B59" s="6">
        <v>45716</v>
      </c>
      <c r="C59" s="3" t="s">
        <v>544</v>
      </c>
      <c r="D59" s="3" t="s">
        <v>251</v>
      </c>
      <c r="E59" s="3" t="s">
        <v>252</v>
      </c>
      <c r="F59" s="7">
        <v>6307.34</v>
      </c>
      <c r="G59" t="s">
        <v>218</v>
      </c>
      <c r="H59" t="s">
        <v>216</v>
      </c>
    </row>
    <row r="60" spans="1:8" x14ac:dyDescent="0.3">
      <c r="A60" s="2"/>
      <c r="B60" s="6">
        <v>45716</v>
      </c>
      <c r="C60" s="3" t="s">
        <v>58</v>
      </c>
      <c r="D60" s="3" t="s">
        <v>251</v>
      </c>
      <c r="E60" s="3" t="s">
        <v>252</v>
      </c>
      <c r="F60" s="7">
        <v>2037.4</v>
      </c>
      <c r="G60" t="s">
        <v>218</v>
      </c>
      <c r="H60" t="s">
        <v>216</v>
      </c>
    </row>
    <row r="61" spans="1:8" x14ac:dyDescent="0.3">
      <c r="A61" s="2"/>
      <c r="B61" s="6">
        <v>45716</v>
      </c>
      <c r="C61" s="3" t="s">
        <v>67</v>
      </c>
      <c r="D61" s="3" t="s">
        <v>251</v>
      </c>
      <c r="E61" s="3" t="s">
        <v>252</v>
      </c>
      <c r="F61" s="7">
        <v>215.63</v>
      </c>
      <c r="G61" t="s">
        <v>219</v>
      </c>
      <c r="H61" t="s">
        <v>216</v>
      </c>
    </row>
    <row r="62" spans="1:8" x14ac:dyDescent="0.3">
      <c r="A62" s="2"/>
      <c r="B62" s="6">
        <v>45716</v>
      </c>
      <c r="C62" s="3" t="s">
        <v>68</v>
      </c>
      <c r="D62" s="3" t="s">
        <v>251</v>
      </c>
      <c r="E62" s="3" t="s">
        <v>252</v>
      </c>
      <c r="F62" s="7">
        <v>1575.23</v>
      </c>
      <c r="G62" t="s">
        <v>219</v>
      </c>
      <c r="H62" t="s">
        <v>216</v>
      </c>
    </row>
    <row r="63" spans="1:8" x14ac:dyDescent="0.3">
      <c r="A63" s="2"/>
      <c r="B63" s="6">
        <v>45716</v>
      </c>
      <c r="C63" s="3" t="s">
        <v>70</v>
      </c>
      <c r="D63" s="3" t="s">
        <v>251</v>
      </c>
      <c r="E63" s="3" t="s">
        <v>252</v>
      </c>
      <c r="F63" s="7">
        <v>2375</v>
      </c>
      <c r="G63" t="s">
        <v>219</v>
      </c>
      <c r="H63" t="s">
        <v>216</v>
      </c>
    </row>
    <row r="64" spans="1:8" x14ac:dyDescent="0.3">
      <c r="A64" s="2"/>
      <c r="B64" s="6">
        <v>45716</v>
      </c>
      <c r="C64" s="3" t="s">
        <v>75</v>
      </c>
      <c r="D64" s="3" t="s">
        <v>251</v>
      </c>
      <c r="E64" s="3" t="s">
        <v>252</v>
      </c>
      <c r="F64" s="7">
        <v>2142.1799999999998</v>
      </c>
      <c r="G64" t="s">
        <v>220</v>
      </c>
      <c r="H64" t="s">
        <v>216</v>
      </c>
    </row>
    <row r="65" spans="1:8" x14ac:dyDescent="0.3">
      <c r="A65" s="2"/>
      <c r="B65" s="6">
        <v>45716</v>
      </c>
      <c r="C65" s="3" t="s">
        <v>76</v>
      </c>
      <c r="D65" s="3" t="s">
        <v>251</v>
      </c>
      <c r="E65" s="3" t="s">
        <v>252</v>
      </c>
      <c r="F65" s="7">
        <v>1056.8900000000001</v>
      </c>
      <c r="G65" t="s">
        <v>220</v>
      </c>
      <c r="H65" t="s">
        <v>216</v>
      </c>
    </row>
    <row r="66" spans="1:8" x14ac:dyDescent="0.3">
      <c r="A66" s="2"/>
      <c r="B66" s="6">
        <v>45716</v>
      </c>
      <c r="C66" s="3" t="s">
        <v>77</v>
      </c>
      <c r="D66" s="3" t="s">
        <v>251</v>
      </c>
      <c r="E66" s="3" t="s">
        <v>252</v>
      </c>
      <c r="F66" s="7">
        <v>284.58999999999997</v>
      </c>
      <c r="G66" t="s">
        <v>220</v>
      </c>
      <c r="H66" t="s">
        <v>216</v>
      </c>
    </row>
    <row r="67" spans="1:8" x14ac:dyDescent="0.3">
      <c r="A67" s="2"/>
      <c r="B67" s="6">
        <v>45716</v>
      </c>
      <c r="C67" s="3" t="s">
        <v>78</v>
      </c>
      <c r="D67" s="3" t="s">
        <v>251</v>
      </c>
      <c r="E67" s="3" t="s">
        <v>252</v>
      </c>
      <c r="F67" s="7">
        <v>124.61</v>
      </c>
      <c r="G67" t="s">
        <v>220</v>
      </c>
      <c r="H67" t="s">
        <v>216</v>
      </c>
    </row>
    <row r="68" spans="1:8" x14ac:dyDescent="0.3">
      <c r="A68" s="2"/>
      <c r="B68" s="6">
        <v>45716</v>
      </c>
      <c r="C68" s="3" t="s">
        <v>91</v>
      </c>
      <c r="D68" s="3" t="s">
        <v>251</v>
      </c>
      <c r="E68" s="3" t="s">
        <v>252</v>
      </c>
      <c r="F68" s="7">
        <v>459.83</v>
      </c>
      <c r="G68" t="s">
        <v>222</v>
      </c>
      <c r="H68" t="s">
        <v>216</v>
      </c>
    </row>
    <row r="69" spans="1:8" x14ac:dyDescent="0.3">
      <c r="A69" s="2"/>
      <c r="B69" s="6">
        <v>45716</v>
      </c>
      <c r="C69" s="3" t="s">
        <v>92</v>
      </c>
      <c r="D69" s="3" t="s">
        <v>251</v>
      </c>
      <c r="E69" s="3" t="s">
        <v>252</v>
      </c>
      <c r="F69" s="7">
        <v>1021.52</v>
      </c>
      <c r="G69" t="s">
        <v>222</v>
      </c>
      <c r="H69" t="s">
        <v>216</v>
      </c>
    </row>
    <row r="70" spans="1:8" x14ac:dyDescent="0.3">
      <c r="A70" s="2"/>
      <c r="B70" s="6">
        <v>45716</v>
      </c>
      <c r="C70" s="3" t="s">
        <v>93</v>
      </c>
      <c r="D70" s="3" t="s">
        <v>251</v>
      </c>
      <c r="E70" s="3" t="s">
        <v>252</v>
      </c>
      <c r="F70" s="7">
        <v>93.39</v>
      </c>
      <c r="G70" t="s">
        <v>222</v>
      </c>
      <c r="H70" t="s">
        <v>216</v>
      </c>
    </row>
    <row r="71" spans="1:8" x14ac:dyDescent="0.3">
      <c r="A71" s="2"/>
      <c r="B71" s="6">
        <v>45716</v>
      </c>
      <c r="C71" s="3" t="s">
        <v>95</v>
      </c>
      <c r="D71" s="3" t="s">
        <v>251</v>
      </c>
      <c r="E71" s="3" t="s">
        <v>252</v>
      </c>
      <c r="F71" s="7">
        <v>595</v>
      </c>
      <c r="G71" t="s">
        <v>222</v>
      </c>
      <c r="H71" t="s">
        <v>216</v>
      </c>
    </row>
    <row r="72" spans="1:8" x14ac:dyDescent="0.3">
      <c r="A72" s="2"/>
      <c r="B72" s="6">
        <v>45716</v>
      </c>
      <c r="C72" s="3" t="s">
        <v>99</v>
      </c>
      <c r="D72" s="3" t="s">
        <v>251</v>
      </c>
      <c r="E72" s="3" t="s">
        <v>252</v>
      </c>
      <c r="F72" s="7">
        <v>11.48</v>
      </c>
      <c r="G72" t="s">
        <v>126</v>
      </c>
      <c r="H72" t="s">
        <v>216</v>
      </c>
    </row>
    <row r="73" spans="1:8" x14ac:dyDescent="0.3">
      <c r="A73" s="2"/>
      <c r="B73" s="6">
        <v>45716</v>
      </c>
      <c r="C73" s="3" t="s">
        <v>99</v>
      </c>
      <c r="D73" s="3" t="s">
        <v>251</v>
      </c>
      <c r="E73" s="3" t="s">
        <v>491</v>
      </c>
      <c r="F73" s="7">
        <v>343.75</v>
      </c>
      <c r="G73" t="s">
        <v>126</v>
      </c>
      <c r="H73" t="s">
        <v>216</v>
      </c>
    </row>
    <row r="74" spans="1:8" x14ac:dyDescent="0.3">
      <c r="A74" s="2"/>
      <c r="B74" s="6">
        <v>45716</v>
      </c>
      <c r="C74" s="3" t="s">
        <v>101</v>
      </c>
      <c r="D74" s="3" t="s">
        <v>251</v>
      </c>
      <c r="E74" s="3" t="s">
        <v>252</v>
      </c>
      <c r="F74" s="7">
        <v>39.99</v>
      </c>
      <c r="G74" t="s">
        <v>217</v>
      </c>
      <c r="H74" t="s">
        <v>216</v>
      </c>
    </row>
    <row r="75" spans="1:8" x14ac:dyDescent="0.3">
      <c r="A75" s="2"/>
      <c r="B75" s="6">
        <v>45716</v>
      </c>
      <c r="C75" s="3" t="s">
        <v>102</v>
      </c>
      <c r="D75" s="3" t="s">
        <v>251</v>
      </c>
      <c r="E75" s="3" t="s">
        <v>252</v>
      </c>
      <c r="F75" s="7">
        <v>495</v>
      </c>
      <c r="G75" t="s">
        <v>217</v>
      </c>
      <c r="H75" t="s">
        <v>216</v>
      </c>
    </row>
    <row r="76" spans="1:8" x14ac:dyDescent="0.3">
      <c r="A76" s="2"/>
      <c r="B76" s="6">
        <v>45716</v>
      </c>
      <c r="C76" s="3" t="s">
        <v>103</v>
      </c>
      <c r="D76" s="3" t="s">
        <v>251</v>
      </c>
      <c r="E76" s="3" t="s">
        <v>252</v>
      </c>
      <c r="F76" s="7">
        <v>195</v>
      </c>
      <c r="G76" t="s">
        <v>217</v>
      </c>
      <c r="H76" t="s">
        <v>216</v>
      </c>
    </row>
    <row r="77" spans="1:8" x14ac:dyDescent="0.3">
      <c r="A77" s="2"/>
      <c r="B77" s="6">
        <v>45716</v>
      </c>
      <c r="C77" s="3" t="s">
        <v>105</v>
      </c>
      <c r="D77" s="3" t="s">
        <v>251</v>
      </c>
      <c r="E77" s="3" t="s">
        <v>252</v>
      </c>
      <c r="F77" s="7">
        <v>8.65</v>
      </c>
      <c r="G77" t="s">
        <v>217</v>
      </c>
      <c r="H77" t="s">
        <v>216</v>
      </c>
    </row>
    <row r="78" spans="1:8" x14ac:dyDescent="0.3">
      <c r="A78" s="2"/>
      <c r="B78" s="6">
        <v>45716</v>
      </c>
      <c r="C78" s="3" t="s">
        <v>110</v>
      </c>
      <c r="D78" s="3" t="s">
        <v>251</v>
      </c>
      <c r="E78" s="3" t="s">
        <v>252</v>
      </c>
      <c r="F78" s="7">
        <v>29.23</v>
      </c>
      <c r="G78" t="s">
        <v>217</v>
      </c>
      <c r="H78" t="s">
        <v>216</v>
      </c>
    </row>
    <row r="79" spans="1:8" x14ac:dyDescent="0.3">
      <c r="A79" s="2"/>
      <c r="B79" s="6">
        <v>45716</v>
      </c>
      <c r="C79" s="3" t="s">
        <v>119</v>
      </c>
      <c r="D79" s="3" t="s">
        <v>251</v>
      </c>
      <c r="E79" s="3" t="s">
        <v>252</v>
      </c>
      <c r="F79" s="7">
        <v>450</v>
      </c>
      <c r="G79" t="s">
        <v>225</v>
      </c>
      <c r="H79" t="s">
        <v>216</v>
      </c>
    </row>
    <row r="80" spans="1:8" x14ac:dyDescent="0.3">
      <c r="A80" s="2"/>
      <c r="B80" s="6">
        <v>45747</v>
      </c>
      <c r="C80" s="3" t="s">
        <v>551</v>
      </c>
      <c r="D80" s="3" t="s">
        <v>34</v>
      </c>
      <c r="E80" s="3" t="s">
        <v>492</v>
      </c>
      <c r="F80" s="7">
        <v>122069.46</v>
      </c>
      <c r="G80" t="s">
        <v>492</v>
      </c>
      <c r="H80" t="s">
        <v>208</v>
      </c>
    </row>
    <row r="81" spans="1:8" x14ac:dyDescent="0.3">
      <c r="A81" s="2"/>
      <c r="B81" s="6">
        <v>45747</v>
      </c>
      <c r="C81" s="3" t="s">
        <v>560</v>
      </c>
      <c r="D81" s="3" t="s">
        <v>34</v>
      </c>
      <c r="E81" s="3" t="s">
        <v>491</v>
      </c>
      <c r="F81" s="7">
        <v>56914.94</v>
      </c>
      <c r="G81" t="s">
        <v>491</v>
      </c>
      <c r="H81" t="s">
        <v>208</v>
      </c>
    </row>
    <row r="82" spans="1:8" x14ac:dyDescent="0.3">
      <c r="A82" s="2"/>
      <c r="B82" s="6">
        <v>45747</v>
      </c>
      <c r="C82" s="3" t="s">
        <v>561</v>
      </c>
      <c r="D82" s="3" t="s">
        <v>34</v>
      </c>
      <c r="E82" s="3" t="s">
        <v>491</v>
      </c>
      <c r="F82" s="7">
        <v>20151.900000000001</v>
      </c>
      <c r="G82" t="s">
        <v>491</v>
      </c>
      <c r="H82" t="s">
        <v>208</v>
      </c>
    </row>
    <row r="83" spans="1:8" x14ac:dyDescent="0.3">
      <c r="A83" s="2"/>
      <c r="B83" s="6">
        <v>45747</v>
      </c>
      <c r="C83" s="3" t="s">
        <v>552</v>
      </c>
      <c r="D83" s="3" t="s">
        <v>37</v>
      </c>
      <c r="E83" s="3" t="s">
        <v>492</v>
      </c>
      <c r="F83" s="7">
        <v>7420.41</v>
      </c>
      <c r="G83" t="s">
        <v>550</v>
      </c>
      <c r="H83" t="s">
        <v>211</v>
      </c>
    </row>
    <row r="84" spans="1:8" x14ac:dyDescent="0.3">
      <c r="A84" s="2"/>
      <c r="B84" s="6">
        <v>45747</v>
      </c>
      <c r="C84" s="3" t="s">
        <v>552</v>
      </c>
      <c r="D84" s="3" t="s">
        <v>37</v>
      </c>
      <c r="E84" s="3" t="s">
        <v>491</v>
      </c>
      <c r="F84" s="7">
        <v>2684.66</v>
      </c>
      <c r="G84" t="s">
        <v>550</v>
      </c>
      <c r="H84" t="s">
        <v>211</v>
      </c>
    </row>
    <row r="85" spans="1:8" x14ac:dyDescent="0.3">
      <c r="A85" s="2"/>
      <c r="B85" s="6">
        <v>45747</v>
      </c>
      <c r="C85" s="3" t="s">
        <v>39</v>
      </c>
      <c r="D85" s="3" t="s">
        <v>37</v>
      </c>
      <c r="E85" s="3" t="s">
        <v>491</v>
      </c>
      <c r="F85" s="7">
        <v>36894.879999999997</v>
      </c>
      <c r="G85" t="s">
        <v>212</v>
      </c>
      <c r="H85" t="s">
        <v>211</v>
      </c>
    </row>
    <row r="86" spans="1:8" x14ac:dyDescent="0.3">
      <c r="A86" s="2"/>
      <c r="B86" s="6">
        <v>45747</v>
      </c>
      <c r="C86" s="3" t="s">
        <v>39</v>
      </c>
      <c r="D86" s="3" t="s">
        <v>37</v>
      </c>
      <c r="E86" s="3" t="s">
        <v>492</v>
      </c>
      <c r="F86" s="7">
        <v>12692.27</v>
      </c>
      <c r="G86" t="s">
        <v>212</v>
      </c>
      <c r="H86" t="s">
        <v>211</v>
      </c>
    </row>
    <row r="87" spans="1:8" x14ac:dyDescent="0.3">
      <c r="A87" s="2"/>
      <c r="B87" s="6">
        <v>45747</v>
      </c>
      <c r="C87" s="3" t="s">
        <v>543</v>
      </c>
      <c r="D87" s="3" t="s">
        <v>37</v>
      </c>
      <c r="E87" s="3" t="s">
        <v>491</v>
      </c>
      <c r="F87" s="7">
        <v>7471.57</v>
      </c>
      <c r="G87" t="s">
        <v>212</v>
      </c>
      <c r="H87" t="s">
        <v>211</v>
      </c>
    </row>
    <row r="88" spans="1:8" x14ac:dyDescent="0.3">
      <c r="A88" s="2"/>
      <c r="B88" s="6">
        <v>45747</v>
      </c>
      <c r="C88" s="3" t="s">
        <v>543</v>
      </c>
      <c r="D88" s="3" t="s">
        <v>37</v>
      </c>
      <c r="E88" s="3" t="s">
        <v>492</v>
      </c>
      <c r="F88" s="7">
        <v>2570.31</v>
      </c>
      <c r="G88" t="s">
        <v>212</v>
      </c>
      <c r="H88" t="s">
        <v>211</v>
      </c>
    </row>
    <row r="89" spans="1:8" x14ac:dyDescent="0.3">
      <c r="A89" s="2"/>
      <c r="B89" s="6">
        <v>45747</v>
      </c>
      <c r="C89" s="3" t="s">
        <v>45</v>
      </c>
      <c r="D89" s="3" t="s">
        <v>37</v>
      </c>
      <c r="E89" s="3" t="s">
        <v>492</v>
      </c>
      <c r="F89" s="7">
        <v>1101.07</v>
      </c>
      <c r="G89" t="s">
        <v>212</v>
      </c>
      <c r="H89" t="s">
        <v>211</v>
      </c>
    </row>
    <row r="90" spans="1:8" x14ac:dyDescent="0.3">
      <c r="A90" s="2"/>
      <c r="B90" s="6">
        <v>45747</v>
      </c>
      <c r="C90" s="3" t="s">
        <v>45</v>
      </c>
      <c r="D90" s="3" t="s">
        <v>37</v>
      </c>
      <c r="E90" s="3" t="s">
        <v>491</v>
      </c>
      <c r="F90" s="7">
        <v>3200.69</v>
      </c>
      <c r="G90" t="s">
        <v>212</v>
      </c>
      <c r="H90" t="s">
        <v>211</v>
      </c>
    </row>
    <row r="91" spans="1:8" x14ac:dyDescent="0.3">
      <c r="A91" s="2"/>
      <c r="B91" s="6">
        <v>45747</v>
      </c>
      <c r="C91" s="3" t="s">
        <v>51</v>
      </c>
      <c r="D91" s="3" t="s">
        <v>251</v>
      </c>
      <c r="E91" s="3" t="s">
        <v>252</v>
      </c>
      <c r="F91" s="7">
        <v>22260.16</v>
      </c>
      <c r="G91" t="s">
        <v>218</v>
      </c>
      <c r="H91" t="s">
        <v>216</v>
      </c>
    </row>
    <row r="92" spans="1:8" x14ac:dyDescent="0.3">
      <c r="A92" s="2"/>
      <c r="B92" s="6">
        <v>45747</v>
      </c>
      <c r="C92" s="3" t="s">
        <v>53</v>
      </c>
      <c r="D92" s="3" t="s">
        <v>251</v>
      </c>
      <c r="E92" s="3" t="s">
        <v>252</v>
      </c>
      <c r="F92" s="7">
        <v>16324.57</v>
      </c>
      <c r="G92" t="s">
        <v>218</v>
      </c>
      <c r="H92" t="s">
        <v>216</v>
      </c>
    </row>
    <row r="93" spans="1:8" x14ac:dyDescent="0.3">
      <c r="A93" s="2"/>
      <c r="B93" s="6">
        <v>45747</v>
      </c>
      <c r="C93" s="3" t="s">
        <v>544</v>
      </c>
      <c r="D93" s="3" t="s">
        <v>251</v>
      </c>
      <c r="E93" s="3" t="s">
        <v>252</v>
      </c>
      <c r="F93" s="7">
        <v>4507.8999999999996</v>
      </c>
      <c r="G93" t="s">
        <v>218</v>
      </c>
      <c r="H93" t="s">
        <v>216</v>
      </c>
    </row>
    <row r="94" spans="1:8" x14ac:dyDescent="0.3">
      <c r="A94" s="2"/>
      <c r="B94" s="6">
        <v>45747</v>
      </c>
      <c r="C94" s="3" t="s">
        <v>58</v>
      </c>
      <c r="D94" s="3" t="s">
        <v>251</v>
      </c>
      <c r="E94" s="3" t="s">
        <v>252</v>
      </c>
      <c r="F94" s="7">
        <v>1931.1</v>
      </c>
      <c r="G94" t="s">
        <v>218</v>
      </c>
      <c r="H94" t="s">
        <v>216</v>
      </c>
    </row>
    <row r="95" spans="1:8" x14ac:dyDescent="0.3">
      <c r="A95" s="2"/>
      <c r="B95" s="6">
        <v>45747</v>
      </c>
      <c r="C95" s="3" t="s">
        <v>68</v>
      </c>
      <c r="D95" s="3" t="s">
        <v>251</v>
      </c>
      <c r="E95" s="3" t="s">
        <v>252</v>
      </c>
      <c r="F95" s="7">
        <v>250</v>
      </c>
      <c r="G95" t="s">
        <v>219</v>
      </c>
      <c r="H95" t="s">
        <v>216</v>
      </c>
    </row>
    <row r="96" spans="1:8" x14ac:dyDescent="0.3">
      <c r="A96" s="2"/>
      <c r="B96" s="6">
        <v>45747</v>
      </c>
      <c r="C96" s="3" t="s">
        <v>69</v>
      </c>
      <c r="D96" s="3" t="s">
        <v>251</v>
      </c>
      <c r="E96" s="3" t="s">
        <v>252</v>
      </c>
      <c r="F96" s="7">
        <v>298.72000000000003</v>
      </c>
      <c r="G96" t="s">
        <v>219</v>
      </c>
      <c r="H96" t="s">
        <v>216</v>
      </c>
    </row>
    <row r="97" spans="1:8" x14ac:dyDescent="0.3">
      <c r="A97" s="2"/>
      <c r="B97" s="6">
        <v>45747</v>
      </c>
      <c r="C97" s="3" t="s">
        <v>70</v>
      </c>
      <c r="D97" s="3" t="s">
        <v>251</v>
      </c>
      <c r="E97" s="3" t="s">
        <v>252</v>
      </c>
      <c r="F97" s="7">
        <v>1593.75</v>
      </c>
      <c r="G97" t="s">
        <v>219</v>
      </c>
      <c r="H97" t="s">
        <v>216</v>
      </c>
    </row>
    <row r="98" spans="1:8" x14ac:dyDescent="0.3">
      <c r="A98" s="2"/>
      <c r="B98" s="6">
        <v>45747</v>
      </c>
      <c r="C98" s="3" t="s">
        <v>75</v>
      </c>
      <c r="D98" s="3" t="s">
        <v>251</v>
      </c>
      <c r="E98" s="3" t="s">
        <v>252</v>
      </c>
      <c r="F98" s="7">
        <v>526.62</v>
      </c>
      <c r="G98" t="s">
        <v>220</v>
      </c>
      <c r="H98" t="s">
        <v>216</v>
      </c>
    </row>
    <row r="99" spans="1:8" x14ac:dyDescent="0.3">
      <c r="A99" s="2"/>
      <c r="B99" s="6">
        <v>45747</v>
      </c>
      <c r="C99" s="3" t="s">
        <v>77</v>
      </c>
      <c r="D99" s="3" t="s">
        <v>251</v>
      </c>
      <c r="E99" s="3" t="s">
        <v>252</v>
      </c>
      <c r="F99" s="7">
        <v>1358.77</v>
      </c>
      <c r="G99" t="s">
        <v>220</v>
      </c>
      <c r="H99" t="s">
        <v>216</v>
      </c>
    </row>
    <row r="100" spans="1:8" x14ac:dyDescent="0.3">
      <c r="A100" s="2"/>
      <c r="B100" s="6">
        <v>45747</v>
      </c>
      <c r="C100" s="3" t="s">
        <v>91</v>
      </c>
      <c r="D100" s="3" t="s">
        <v>251</v>
      </c>
      <c r="E100" s="3" t="s">
        <v>252</v>
      </c>
      <c r="F100" s="7">
        <v>484.96</v>
      </c>
      <c r="G100" t="s">
        <v>222</v>
      </c>
      <c r="H100" t="s">
        <v>216</v>
      </c>
    </row>
    <row r="101" spans="1:8" x14ac:dyDescent="0.3">
      <c r="A101" s="2"/>
      <c r="B101" s="6">
        <v>45747</v>
      </c>
      <c r="C101" s="3" t="s">
        <v>94</v>
      </c>
      <c r="D101" s="3" t="s">
        <v>251</v>
      </c>
      <c r="E101" s="3" t="s">
        <v>252</v>
      </c>
      <c r="F101" s="7">
        <v>454.86</v>
      </c>
      <c r="G101" t="s">
        <v>222</v>
      </c>
      <c r="H101" t="s">
        <v>216</v>
      </c>
    </row>
    <row r="102" spans="1:8" x14ac:dyDescent="0.3">
      <c r="A102" s="2"/>
      <c r="B102" s="6">
        <v>45747</v>
      </c>
      <c r="C102" s="3" t="s">
        <v>99</v>
      </c>
      <c r="D102" s="3" t="s">
        <v>251</v>
      </c>
      <c r="E102" s="3" t="s">
        <v>252</v>
      </c>
      <c r="F102" s="7">
        <v>5265.78</v>
      </c>
      <c r="G102" t="s">
        <v>126</v>
      </c>
      <c r="H102" t="s">
        <v>216</v>
      </c>
    </row>
    <row r="103" spans="1:8" x14ac:dyDescent="0.3">
      <c r="A103" s="2"/>
      <c r="B103" s="6">
        <v>45747</v>
      </c>
      <c r="C103" s="3" t="s">
        <v>99</v>
      </c>
      <c r="D103" s="3" t="s">
        <v>251</v>
      </c>
      <c r="E103" s="3" t="s">
        <v>491</v>
      </c>
      <c r="F103" s="7">
        <v>366.67</v>
      </c>
      <c r="G103" t="s">
        <v>126</v>
      </c>
      <c r="H103" t="s">
        <v>216</v>
      </c>
    </row>
    <row r="104" spans="1:8" x14ac:dyDescent="0.3">
      <c r="A104" s="2"/>
      <c r="B104" s="6">
        <v>45747</v>
      </c>
      <c r="C104" s="3" t="s">
        <v>101</v>
      </c>
      <c r="D104" s="3" t="s">
        <v>251</v>
      </c>
      <c r="E104" s="3" t="s">
        <v>252</v>
      </c>
      <c r="F104" s="7">
        <v>27.5</v>
      </c>
      <c r="G104" t="s">
        <v>217</v>
      </c>
      <c r="H104" t="s">
        <v>216</v>
      </c>
    </row>
    <row r="105" spans="1:8" x14ac:dyDescent="0.3">
      <c r="A105" s="2"/>
      <c r="B105" s="6">
        <v>45747</v>
      </c>
      <c r="C105" s="3" t="s">
        <v>102</v>
      </c>
      <c r="D105" s="3" t="s">
        <v>251</v>
      </c>
      <c r="E105" s="3" t="s">
        <v>252</v>
      </c>
      <c r="F105" s="7">
        <v>595.04999999999995</v>
      </c>
      <c r="G105" t="s">
        <v>217</v>
      </c>
      <c r="H105" t="s">
        <v>216</v>
      </c>
    </row>
    <row r="106" spans="1:8" x14ac:dyDescent="0.3">
      <c r="A106" s="2"/>
      <c r="B106" s="6">
        <v>45747</v>
      </c>
      <c r="C106" s="3" t="s">
        <v>103</v>
      </c>
      <c r="D106" s="3" t="s">
        <v>251</v>
      </c>
      <c r="E106" s="3" t="s">
        <v>252</v>
      </c>
      <c r="F106" s="7">
        <v>180</v>
      </c>
      <c r="G106" t="s">
        <v>217</v>
      </c>
      <c r="H106" t="s">
        <v>216</v>
      </c>
    </row>
    <row r="107" spans="1:8" x14ac:dyDescent="0.3">
      <c r="A107" s="2"/>
      <c r="B107" s="6">
        <v>45747</v>
      </c>
      <c r="C107" s="3" t="s">
        <v>105</v>
      </c>
      <c r="D107" s="3" t="s">
        <v>251</v>
      </c>
      <c r="E107" s="3" t="s">
        <v>252</v>
      </c>
      <c r="F107" s="7">
        <v>181.35</v>
      </c>
      <c r="G107" t="s">
        <v>217</v>
      </c>
      <c r="H107" t="s">
        <v>216</v>
      </c>
    </row>
    <row r="108" spans="1:8" x14ac:dyDescent="0.3">
      <c r="A108" s="2"/>
      <c r="B108" s="6">
        <v>45747</v>
      </c>
      <c r="C108" s="3" t="s">
        <v>108</v>
      </c>
      <c r="D108" s="3" t="s">
        <v>251</v>
      </c>
      <c r="E108" s="3" t="s">
        <v>252</v>
      </c>
      <c r="F108" s="7">
        <v>346.68</v>
      </c>
      <c r="G108" t="s">
        <v>217</v>
      </c>
      <c r="H108" t="s">
        <v>216</v>
      </c>
    </row>
    <row r="109" spans="1:8" x14ac:dyDescent="0.3">
      <c r="A109" s="2"/>
      <c r="B109" s="6">
        <v>45747</v>
      </c>
      <c r="C109" s="3" t="s">
        <v>110</v>
      </c>
      <c r="D109" s="3" t="s">
        <v>251</v>
      </c>
      <c r="E109" s="3" t="s">
        <v>252</v>
      </c>
      <c r="F109" s="7">
        <v>23.02</v>
      </c>
      <c r="G109" t="s">
        <v>217</v>
      </c>
      <c r="H109" t="s">
        <v>216</v>
      </c>
    </row>
    <row r="110" spans="1:8" x14ac:dyDescent="0.3">
      <c r="A110" s="2"/>
      <c r="B110" s="6">
        <v>45777</v>
      </c>
      <c r="C110" s="3" t="s">
        <v>551</v>
      </c>
      <c r="D110" s="3" t="s">
        <v>34</v>
      </c>
      <c r="E110" s="3" t="s">
        <v>492</v>
      </c>
      <c r="F110" s="7">
        <v>145409.42000000001</v>
      </c>
      <c r="G110" t="s">
        <v>492</v>
      </c>
      <c r="H110" t="s">
        <v>208</v>
      </c>
    </row>
    <row r="111" spans="1:8" x14ac:dyDescent="0.3">
      <c r="A111" s="2"/>
      <c r="B111" s="6">
        <v>45777</v>
      </c>
      <c r="C111" s="3" t="s">
        <v>560</v>
      </c>
      <c r="D111" s="3" t="s">
        <v>34</v>
      </c>
      <c r="E111" s="3" t="s">
        <v>491</v>
      </c>
      <c r="F111" s="7">
        <v>9447.98</v>
      </c>
      <c r="G111" t="s">
        <v>491</v>
      </c>
      <c r="H111" t="s">
        <v>208</v>
      </c>
    </row>
    <row r="112" spans="1:8" x14ac:dyDescent="0.3">
      <c r="A112" s="2"/>
      <c r="B112" s="6">
        <v>45777</v>
      </c>
      <c r="C112" s="3" t="s">
        <v>561</v>
      </c>
      <c r="D112" s="3" t="s">
        <v>34</v>
      </c>
      <c r="E112" s="3" t="s">
        <v>491</v>
      </c>
      <c r="F112" s="7">
        <v>18391.5</v>
      </c>
      <c r="G112" t="s">
        <v>491</v>
      </c>
      <c r="H112" t="s">
        <v>208</v>
      </c>
    </row>
    <row r="113" spans="1:8" x14ac:dyDescent="0.3">
      <c r="A113" s="2"/>
      <c r="B113" s="6">
        <v>45777</v>
      </c>
      <c r="C113" s="3" t="s">
        <v>35</v>
      </c>
      <c r="D113" s="3" t="s">
        <v>34</v>
      </c>
      <c r="E113" s="3" t="s">
        <v>491</v>
      </c>
      <c r="F113" s="7">
        <v>3812.5</v>
      </c>
      <c r="G113" t="s">
        <v>209</v>
      </c>
      <c r="H113" t="s">
        <v>208</v>
      </c>
    </row>
    <row r="114" spans="1:8" x14ac:dyDescent="0.3">
      <c r="A114" s="2"/>
      <c r="B114" s="6">
        <v>45777</v>
      </c>
      <c r="C114" s="3" t="s">
        <v>552</v>
      </c>
      <c r="D114" s="3" t="s">
        <v>37</v>
      </c>
      <c r="E114" s="3" t="s">
        <v>491</v>
      </c>
      <c r="F114" s="7">
        <v>15716.28</v>
      </c>
      <c r="G114" t="s">
        <v>550</v>
      </c>
      <c r="H114" t="s">
        <v>211</v>
      </c>
    </row>
    <row r="115" spans="1:8" x14ac:dyDescent="0.3">
      <c r="A115" s="2"/>
      <c r="B115" s="6">
        <v>45777</v>
      </c>
      <c r="C115" s="3" t="s">
        <v>552</v>
      </c>
      <c r="D115" s="3" t="s">
        <v>37</v>
      </c>
      <c r="E115" s="3" t="s">
        <v>492</v>
      </c>
      <c r="F115" s="7">
        <v>48384.75</v>
      </c>
      <c r="G115" t="s">
        <v>550</v>
      </c>
      <c r="H115" t="s">
        <v>211</v>
      </c>
    </row>
    <row r="116" spans="1:8" x14ac:dyDescent="0.3">
      <c r="A116" s="2"/>
      <c r="B116" s="6">
        <v>45777</v>
      </c>
      <c r="C116" s="3" t="s">
        <v>39</v>
      </c>
      <c r="D116" s="3" t="s">
        <v>37</v>
      </c>
      <c r="E116" s="3" t="s">
        <v>492</v>
      </c>
      <c r="F116" s="7">
        <v>12350.32</v>
      </c>
      <c r="G116" t="s">
        <v>212</v>
      </c>
      <c r="H116" t="s">
        <v>211</v>
      </c>
    </row>
    <row r="117" spans="1:8" x14ac:dyDescent="0.3">
      <c r="A117" s="2"/>
      <c r="B117" s="6">
        <v>45777</v>
      </c>
      <c r="C117" s="3" t="s">
        <v>39</v>
      </c>
      <c r="D117" s="3" t="s">
        <v>37</v>
      </c>
      <c r="E117" s="3" t="s">
        <v>491</v>
      </c>
      <c r="F117" s="7">
        <v>35900.879999999997</v>
      </c>
      <c r="G117" t="s">
        <v>212</v>
      </c>
      <c r="H117" t="s">
        <v>211</v>
      </c>
    </row>
    <row r="118" spans="1:8" x14ac:dyDescent="0.3">
      <c r="A118" s="2"/>
      <c r="B118" s="6">
        <v>45777</v>
      </c>
      <c r="C118" s="3" t="s">
        <v>543</v>
      </c>
      <c r="D118" s="3" t="s">
        <v>37</v>
      </c>
      <c r="E118" s="3" t="s">
        <v>492</v>
      </c>
      <c r="F118" s="7">
        <v>891.51</v>
      </c>
      <c r="G118" t="s">
        <v>212</v>
      </c>
      <c r="H118" t="s">
        <v>211</v>
      </c>
    </row>
    <row r="119" spans="1:8" x14ac:dyDescent="0.3">
      <c r="A119" s="2"/>
      <c r="B119" s="6">
        <v>45777</v>
      </c>
      <c r="C119" s="3" t="s">
        <v>543</v>
      </c>
      <c r="D119" s="3" t="s">
        <v>37</v>
      </c>
      <c r="E119" s="3" t="s">
        <v>491</v>
      </c>
      <c r="F119" s="7">
        <v>2591.5100000000002</v>
      </c>
      <c r="G119" t="s">
        <v>212</v>
      </c>
      <c r="H119" t="s">
        <v>211</v>
      </c>
    </row>
    <row r="120" spans="1:8" x14ac:dyDescent="0.3">
      <c r="A120" s="2"/>
      <c r="B120" s="6">
        <v>45777</v>
      </c>
      <c r="C120" s="3" t="s">
        <v>42</v>
      </c>
      <c r="D120" s="3" t="s">
        <v>37</v>
      </c>
      <c r="E120" s="3" t="s">
        <v>492</v>
      </c>
      <c r="F120" s="7">
        <v>242.86</v>
      </c>
      <c r="G120" t="s">
        <v>212</v>
      </c>
      <c r="H120" t="s">
        <v>211</v>
      </c>
    </row>
    <row r="121" spans="1:8" x14ac:dyDescent="0.3">
      <c r="A121" s="2"/>
      <c r="B121" s="6">
        <v>45777</v>
      </c>
      <c r="C121" s="3" t="s">
        <v>42</v>
      </c>
      <c r="D121" s="3" t="s">
        <v>37</v>
      </c>
      <c r="E121" s="3" t="s">
        <v>491</v>
      </c>
      <c r="F121" s="7">
        <v>705.96</v>
      </c>
      <c r="G121" t="s">
        <v>212</v>
      </c>
      <c r="H121" t="s">
        <v>211</v>
      </c>
    </row>
    <row r="122" spans="1:8" x14ac:dyDescent="0.3">
      <c r="A122" s="2"/>
      <c r="B122" s="6">
        <v>45777</v>
      </c>
      <c r="C122" s="3" t="s">
        <v>45</v>
      </c>
      <c r="D122" s="3" t="s">
        <v>37</v>
      </c>
      <c r="E122" s="3" t="s">
        <v>491</v>
      </c>
      <c r="F122" s="7">
        <v>3122.92</v>
      </c>
      <c r="G122" t="s">
        <v>212</v>
      </c>
      <c r="H122" t="s">
        <v>211</v>
      </c>
    </row>
    <row r="123" spans="1:8" x14ac:dyDescent="0.3">
      <c r="A123" s="2"/>
      <c r="B123" s="6">
        <v>45777</v>
      </c>
      <c r="C123" s="3" t="s">
        <v>45</v>
      </c>
      <c r="D123" s="3" t="s">
        <v>37</v>
      </c>
      <c r="E123" s="3" t="s">
        <v>492</v>
      </c>
      <c r="F123" s="7">
        <v>1074.32</v>
      </c>
      <c r="G123" t="s">
        <v>212</v>
      </c>
      <c r="H123" t="s">
        <v>211</v>
      </c>
    </row>
    <row r="124" spans="1:8" x14ac:dyDescent="0.3">
      <c r="A124" s="2"/>
      <c r="B124" s="6">
        <v>45777</v>
      </c>
      <c r="C124" s="3" t="s">
        <v>51</v>
      </c>
      <c r="D124" s="3" t="s">
        <v>251</v>
      </c>
      <c r="E124" s="3" t="s">
        <v>252</v>
      </c>
      <c r="F124" s="7">
        <v>21660.47</v>
      </c>
      <c r="G124" t="s">
        <v>218</v>
      </c>
      <c r="H124" t="s">
        <v>216</v>
      </c>
    </row>
    <row r="125" spans="1:8" x14ac:dyDescent="0.3">
      <c r="A125" s="2"/>
      <c r="B125" s="6">
        <v>45777</v>
      </c>
      <c r="C125" s="3" t="s">
        <v>53</v>
      </c>
      <c r="D125" s="3" t="s">
        <v>251</v>
      </c>
      <c r="E125" s="3" t="s">
        <v>252</v>
      </c>
      <c r="F125" s="7">
        <v>16324.58</v>
      </c>
      <c r="G125" t="s">
        <v>218</v>
      </c>
      <c r="H125" t="s">
        <v>216</v>
      </c>
    </row>
    <row r="126" spans="1:8" x14ac:dyDescent="0.3">
      <c r="A126" s="2"/>
      <c r="B126" s="6">
        <v>45777</v>
      </c>
      <c r="C126" s="3" t="s">
        <v>544</v>
      </c>
      <c r="D126" s="3" t="s">
        <v>251</v>
      </c>
      <c r="E126" s="3" t="s">
        <v>252</v>
      </c>
      <c r="F126" s="7">
        <v>1563.56</v>
      </c>
      <c r="G126" t="s">
        <v>218</v>
      </c>
      <c r="H126" t="s">
        <v>216</v>
      </c>
    </row>
    <row r="127" spans="1:8" x14ac:dyDescent="0.3">
      <c r="A127" s="2"/>
      <c r="B127" s="6">
        <v>45777</v>
      </c>
      <c r="C127" s="3" t="s">
        <v>55</v>
      </c>
      <c r="D127" s="3" t="s">
        <v>251</v>
      </c>
      <c r="E127" s="3" t="s">
        <v>252</v>
      </c>
      <c r="F127" s="7">
        <v>425.93</v>
      </c>
      <c r="G127" t="s">
        <v>218</v>
      </c>
      <c r="H127" t="s">
        <v>216</v>
      </c>
    </row>
    <row r="128" spans="1:8" x14ac:dyDescent="0.3">
      <c r="A128" s="2"/>
      <c r="B128" s="6">
        <v>45777</v>
      </c>
      <c r="C128" s="3" t="s">
        <v>58</v>
      </c>
      <c r="D128" s="3" t="s">
        <v>251</v>
      </c>
      <c r="E128" s="3" t="s">
        <v>252</v>
      </c>
      <c r="F128" s="7">
        <v>1884.18</v>
      </c>
      <c r="G128" t="s">
        <v>218</v>
      </c>
      <c r="H128" t="s">
        <v>216</v>
      </c>
    </row>
    <row r="129" spans="1:8" x14ac:dyDescent="0.3">
      <c r="A129" s="2"/>
      <c r="B129" s="6">
        <v>45777</v>
      </c>
      <c r="C129" s="3" t="s">
        <v>68</v>
      </c>
      <c r="D129" s="3" t="s">
        <v>251</v>
      </c>
      <c r="E129" s="3" t="s">
        <v>252</v>
      </c>
      <c r="F129" s="7">
        <v>250</v>
      </c>
      <c r="G129" t="s">
        <v>219</v>
      </c>
      <c r="H129" t="s">
        <v>216</v>
      </c>
    </row>
    <row r="130" spans="1:8" x14ac:dyDescent="0.3">
      <c r="A130" s="2"/>
      <c r="B130" s="6">
        <v>45777</v>
      </c>
      <c r="C130" s="3" t="s">
        <v>69</v>
      </c>
      <c r="D130" s="3" t="s">
        <v>251</v>
      </c>
      <c r="E130" s="3" t="s">
        <v>252</v>
      </c>
      <c r="F130" s="7">
        <v>322.35000000000002</v>
      </c>
      <c r="G130" t="s">
        <v>219</v>
      </c>
      <c r="H130" t="s">
        <v>216</v>
      </c>
    </row>
    <row r="131" spans="1:8" x14ac:dyDescent="0.3">
      <c r="A131" s="2"/>
      <c r="B131" s="6">
        <v>45777</v>
      </c>
      <c r="C131" s="3" t="s">
        <v>70</v>
      </c>
      <c r="D131" s="3" t="s">
        <v>251</v>
      </c>
      <c r="E131" s="3" t="s">
        <v>252</v>
      </c>
      <c r="F131" s="7">
        <v>1875</v>
      </c>
      <c r="G131" t="s">
        <v>219</v>
      </c>
      <c r="H131" t="s">
        <v>216</v>
      </c>
    </row>
    <row r="132" spans="1:8" x14ac:dyDescent="0.3">
      <c r="A132" s="2"/>
      <c r="B132" s="6">
        <v>45777</v>
      </c>
      <c r="C132" s="3" t="s">
        <v>75</v>
      </c>
      <c r="D132" s="3" t="s">
        <v>251</v>
      </c>
      <c r="E132" s="3" t="s">
        <v>252</v>
      </c>
      <c r="F132" s="7">
        <v>59.95</v>
      </c>
      <c r="G132" t="s">
        <v>220</v>
      </c>
      <c r="H132" t="s">
        <v>216</v>
      </c>
    </row>
    <row r="133" spans="1:8" x14ac:dyDescent="0.3">
      <c r="A133" s="2"/>
      <c r="B133" s="6">
        <v>45777</v>
      </c>
      <c r="C133" s="3" t="s">
        <v>76</v>
      </c>
      <c r="D133" s="3" t="s">
        <v>251</v>
      </c>
      <c r="E133" s="3" t="s">
        <v>252</v>
      </c>
      <c r="F133" s="7">
        <v>132.31</v>
      </c>
      <c r="G133" t="s">
        <v>220</v>
      </c>
      <c r="H133" t="s">
        <v>216</v>
      </c>
    </row>
    <row r="134" spans="1:8" x14ac:dyDescent="0.3">
      <c r="A134" s="2"/>
      <c r="B134" s="6">
        <v>45777</v>
      </c>
      <c r="C134" s="3" t="s">
        <v>77</v>
      </c>
      <c r="D134" s="3" t="s">
        <v>251</v>
      </c>
      <c r="E134" s="3" t="s">
        <v>252</v>
      </c>
      <c r="F134" s="7">
        <v>118.74</v>
      </c>
      <c r="G134" t="s">
        <v>220</v>
      </c>
      <c r="H134" t="s">
        <v>216</v>
      </c>
    </row>
    <row r="135" spans="1:8" x14ac:dyDescent="0.3">
      <c r="A135" s="2"/>
      <c r="B135" s="6">
        <v>45777</v>
      </c>
      <c r="C135" s="3" t="s">
        <v>84</v>
      </c>
      <c r="D135" s="3" t="s">
        <v>251</v>
      </c>
      <c r="E135" s="3" t="s">
        <v>491</v>
      </c>
      <c r="F135" s="7">
        <v>1444.73</v>
      </c>
      <c r="G135" t="s">
        <v>221</v>
      </c>
      <c r="H135" t="s">
        <v>216</v>
      </c>
    </row>
    <row r="136" spans="1:8" x14ac:dyDescent="0.3">
      <c r="A136" s="2"/>
      <c r="B136" s="6">
        <v>45777</v>
      </c>
      <c r="C136" s="3" t="s">
        <v>85</v>
      </c>
      <c r="D136" s="3" t="s">
        <v>251</v>
      </c>
      <c r="E136" s="3" t="s">
        <v>491</v>
      </c>
      <c r="F136" s="7">
        <v>281</v>
      </c>
      <c r="G136" t="s">
        <v>221</v>
      </c>
      <c r="H136" t="s">
        <v>216</v>
      </c>
    </row>
    <row r="137" spans="1:8" x14ac:dyDescent="0.3">
      <c r="A137" s="2"/>
      <c r="B137" s="6">
        <v>45777</v>
      </c>
      <c r="C137" s="3" t="s">
        <v>86</v>
      </c>
      <c r="D137" s="3" t="s">
        <v>251</v>
      </c>
      <c r="E137" s="3" t="s">
        <v>491</v>
      </c>
      <c r="F137" s="7">
        <v>320.72000000000003</v>
      </c>
      <c r="G137" t="s">
        <v>221</v>
      </c>
      <c r="H137" t="s">
        <v>216</v>
      </c>
    </row>
    <row r="138" spans="1:8" x14ac:dyDescent="0.3">
      <c r="A138" s="2"/>
      <c r="B138" s="6">
        <v>45777</v>
      </c>
      <c r="C138" s="3" t="s">
        <v>87</v>
      </c>
      <c r="D138" s="3" t="s">
        <v>251</v>
      </c>
      <c r="E138" s="3" t="s">
        <v>491</v>
      </c>
      <c r="F138" s="7">
        <v>143.26</v>
      </c>
      <c r="G138" t="s">
        <v>221</v>
      </c>
      <c r="H138" t="s">
        <v>216</v>
      </c>
    </row>
    <row r="139" spans="1:8" x14ac:dyDescent="0.3">
      <c r="A139" s="2"/>
      <c r="B139" s="6">
        <v>45777</v>
      </c>
      <c r="C139" s="3" t="s">
        <v>93</v>
      </c>
      <c r="D139" s="3" t="s">
        <v>251</v>
      </c>
      <c r="E139" s="3" t="s">
        <v>252</v>
      </c>
      <c r="F139" s="7">
        <v>30.99</v>
      </c>
      <c r="G139" t="s">
        <v>222</v>
      </c>
      <c r="H139" t="s">
        <v>216</v>
      </c>
    </row>
    <row r="140" spans="1:8" x14ac:dyDescent="0.3">
      <c r="A140" s="2"/>
      <c r="B140" s="6">
        <v>45777</v>
      </c>
      <c r="C140" s="3" t="s">
        <v>94</v>
      </c>
      <c r="D140" s="3" t="s">
        <v>251</v>
      </c>
      <c r="E140" s="3" t="s">
        <v>252</v>
      </c>
      <c r="F140" s="7">
        <v>576.42999999999995</v>
      </c>
      <c r="G140" t="s">
        <v>222</v>
      </c>
      <c r="H140" t="s">
        <v>216</v>
      </c>
    </row>
    <row r="141" spans="1:8" x14ac:dyDescent="0.3">
      <c r="A141" s="2"/>
      <c r="B141" s="6">
        <v>45777</v>
      </c>
      <c r="C141" s="3" t="s">
        <v>95</v>
      </c>
      <c r="D141" s="3" t="s">
        <v>251</v>
      </c>
      <c r="E141" s="3" t="s">
        <v>252</v>
      </c>
      <c r="F141" s="7">
        <v>850</v>
      </c>
      <c r="G141" t="s">
        <v>222</v>
      </c>
      <c r="H141" t="s">
        <v>216</v>
      </c>
    </row>
    <row r="142" spans="1:8" x14ac:dyDescent="0.3">
      <c r="A142" s="2"/>
      <c r="B142" s="6">
        <v>45777</v>
      </c>
      <c r="C142" s="3" t="s">
        <v>99</v>
      </c>
      <c r="D142" s="3" t="s">
        <v>251</v>
      </c>
      <c r="E142" s="3" t="s">
        <v>252</v>
      </c>
      <c r="F142" s="7">
        <v>106.38</v>
      </c>
      <c r="G142" t="s">
        <v>126</v>
      </c>
      <c r="H142" t="s">
        <v>216</v>
      </c>
    </row>
    <row r="143" spans="1:8" x14ac:dyDescent="0.3">
      <c r="A143" s="2"/>
      <c r="B143" s="6">
        <v>45777</v>
      </c>
      <c r="C143" s="3" t="s">
        <v>99</v>
      </c>
      <c r="D143" s="3" t="s">
        <v>251</v>
      </c>
      <c r="E143" s="3" t="s">
        <v>491</v>
      </c>
      <c r="F143" s="7">
        <v>432.14</v>
      </c>
      <c r="G143" t="s">
        <v>126</v>
      </c>
      <c r="H143" t="s">
        <v>216</v>
      </c>
    </row>
    <row r="144" spans="1:8" x14ac:dyDescent="0.3">
      <c r="A144" s="2"/>
      <c r="B144" s="6">
        <v>45777</v>
      </c>
      <c r="C144" s="3" t="s">
        <v>101</v>
      </c>
      <c r="D144" s="3" t="s">
        <v>251</v>
      </c>
      <c r="E144" s="3" t="s">
        <v>252</v>
      </c>
      <c r="F144" s="7">
        <v>40.15</v>
      </c>
      <c r="G144" t="s">
        <v>217</v>
      </c>
      <c r="H144" t="s">
        <v>216</v>
      </c>
    </row>
    <row r="145" spans="1:8" x14ac:dyDescent="0.3">
      <c r="A145" s="2"/>
      <c r="B145" s="6">
        <v>45777</v>
      </c>
      <c r="C145" s="3" t="s">
        <v>102</v>
      </c>
      <c r="D145" s="3" t="s">
        <v>251</v>
      </c>
      <c r="E145" s="3" t="s">
        <v>252</v>
      </c>
      <c r="F145" s="7">
        <v>495</v>
      </c>
      <c r="G145" t="s">
        <v>217</v>
      </c>
      <c r="H145" t="s">
        <v>216</v>
      </c>
    </row>
    <row r="146" spans="1:8" x14ac:dyDescent="0.3">
      <c r="A146" s="2"/>
      <c r="B146" s="6">
        <v>45777</v>
      </c>
      <c r="C146" s="3" t="s">
        <v>105</v>
      </c>
      <c r="D146" s="3" t="s">
        <v>251</v>
      </c>
      <c r="E146" s="3" t="s">
        <v>252</v>
      </c>
      <c r="F146" s="7">
        <v>199.93</v>
      </c>
      <c r="G146" t="s">
        <v>217</v>
      </c>
      <c r="H146" t="s">
        <v>216</v>
      </c>
    </row>
    <row r="147" spans="1:8" x14ac:dyDescent="0.3">
      <c r="A147" s="2"/>
      <c r="B147" s="6">
        <v>45777</v>
      </c>
      <c r="C147" s="3" t="s">
        <v>110</v>
      </c>
      <c r="D147" s="3" t="s">
        <v>251</v>
      </c>
      <c r="E147" s="3" t="s">
        <v>252</v>
      </c>
      <c r="F147" s="7">
        <v>54.27</v>
      </c>
      <c r="G147" t="s">
        <v>217</v>
      </c>
      <c r="H147" t="s">
        <v>216</v>
      </c>
    </row>
    <row r="148" spans="1:8" x14ac:dyDescent="0.3">
      <c r="A148" s="2"/>
      <c r="B148" s="6">
        <v>45777</v>
      </c>
      <c r="C148" s="3" t="s">
        <v>117</v>
      </c>
      <c r="D148" s="3" t="s">
        <v>251</v>
      </c>
      <c r="E148" s="3" t="s">
        <v>252</v>
      </c>
      <c r="F148" s="7">
        <v>1125.69</v>
      </c>
      <c r="G148" t="s">
        <v>225</v>
      </c>
      <c r="H148" t="s">
        <v>216</v>
      </c>
    </row>
    <row r="149" spans="1:8" x14ac:dyDescent="0.3">
      <c r="A149" s="2"/>
      <c r="B149" s="6">
        <v>45777</v>
      </c>
      <c r="C149" s="3" t="s">
        <v>118</v>
      </c>
      <c r="D149" s="3" t="s">
        <v>251</v>
      </c>
      <c r="E149" s="3" t="s">
        <v>252</v>
      </c>
      <c r="F149" s="7">
        <v>149.46</v>
      </c>
      <c r="G149" t="s">
        <v>225</v>
      </c>
      <c r="H149" t="s">
        <v>216</v>
      </c>
    </row>
    <row r="150" spans="1:8" x14ac:dyDescent="0.3">
      <c r="A150" s="2"/>
      <c r="B150" s="6">
        <v>45777</v>
      </c>
      <c r="C150" s="3" t="s">
        <v>119</v>
      </c>
      <c r="D150" s="3" t="s">
        <v>251</v>
      </c>
      <c r="E150" s="3" t="s">
        <v>252</v>
      </c>
      <c r="F150" s="7">
        <v>450</v>
      </c>
      <c r="G150" t="s">
        <v>225</v>
      </c>
      <c r="H150" t="s">
        <v>216</v>
      </c>
    </row>
    <row r="151" spans="1:8" x14ac:dyDescent="0.3">
      <c r="A151" s="2"/>
      <c r="B151" s="6">
        <v>45777</v>
      </c>
      <c r="C151" s="3" t="s">
        <v>120</v>
      </c>
      <c r="D151" s="3" t="s">
        <v>251</v>
      </c>
      <c r="E151" s="3" t="s">
        <v>252</v>
      </c>
      <c r="F151" s="7">
        <v>14.09</v>
      </c>
      <c r="G151" t="s">
        <v>225</v>
      </c>
      <c r="H151" t="s">
        <v>216</v>
      </c>
    </row>
    <row r="152" spans="1:8" x14ac:dyDescent="0.3">
      <c r="A152" s="2"/>
      <c r="B152" s="6">
        <v>45808</v>
      </c>
      <c r="C152" s="3" t="s">
        <v>551</v>
      </c>
      <c r="D152" s="3" t="s">
        <v>34</v>
      </c>
      <c r="E152" s="3" t="s">
        <v>492</v>
      </c>
      <c r="F152" s="7">
        <v>122217.81</v>
      </c>
      <c r="G152" t="s">
        <v>492</v>
      </c>
      <c r="H152" t="s">
        <v>208</v>
      </c>
    </row>
    <row r="153" spans="1:8" x14ac:dyDescent="0.3">
      <c r="A153" s="2"/>
      <c r="B153" s="6">
        <v>45808</v>
      </c>
      <c r="C153" s="3" t="s">
        <v>560</v>
      </c>
      <c r="D153" s="3" t="s">
        <v>34</v>
      </c>
      <c r="E153" s="3" t="s">
        <v>491</v>
      </c>
      <c r="F153" s="7">
        <v>48095.839999999997</v>
      </c>
      <c r="G153" t="s">
        <v>491</v>
      </c>
      <c r="H153" t="s">
        <v>208</v>
      </c>
    </row>
    <row r="154" spans="1:8" x14ac:dyDescent="0.3">
      <c r="A154" s="2"/>
      <c r="B154" s="6">
        <v>45808</v>
      </c>
      <c r="C154" s="3" t="s">
        <v>561</v>
      </c>
      <c r="D154" s="3" t="s">
        <v>34</v>
      </c>
      <c r="E154" s="3" t="s">
        <v>491</v>
      </c>
      <c r="F154" s="7">
        <v>13429.98</v>
      </c>
      <c r="G154" t="s">
        <v>491</v>
      </c>
      <c r="H154" t="s">
        <v>208</v>
      </c>
    </row>
    <row r="155" spans="1:8" x14ac:dyDescent="0.3">
      <c r="A155" s="2"/>
      <c r="B155" s="6">
        <v>45808</v>
      </c>
      <c r="C155" s="3" t="s">
        <v>552</v>
      </c>
      <c r="D155" s="3" t="s">
        <v>37</v>
      </c>
      <c r="E155" s="3" t="s">
        <v>491</v>
      </c>
      <c r="F155" s="7">
        <v>19149.36</v>
      </c>
      <c r="G155" t="s">
        <v>550</v>
      </c>
      <c r="H155" t="s">
        <v>211</v>
      </c>
    </row>
    <row r="156" spans="1:8" x14ac:dyDescent="0.3">
      <c r="A156" s="2"/>
      <c r="B156" s="6">
        <v>45808</v>
      </c>
      <c r="C156" s="3" t="s">
        <v>552</v>
      </c>
      <c r="D156" s="3" t="s">
        <v>37</v>
      </c>
      <c r="E156" s="3" t="s">
        <v>492</v>
      </c>
      <c r="F156" s="7">
        <v>1286.25</v>
      </c>
      <c r="G156" t="s">
        <v>550</v>
      </c>
      <c r="H156" t="s">
        <v>211</v>
      </c>
    </row>
    <row r="157" spans="1:8" x14ac:dyDescent="0.3">
      <c r="A157" s="2"/>
      <c r="B157" s="6">
        <v>45808</v>
      </c>
      <c r="C157" s="3" t="s">
        <v>39</v>
      </c>
      <c r="D157" s="3" t="s">
        <v>37</v>
      </c>
      <c r="E157" s="3" t="s">
        <v>492</v>
      </c>
      <c r="F157" s="7">
        <v>12614.08</v>
      </c>
      <c r="G157" t="s">
        <v>212</v>
      </c>
      <c r="H157" t="s">
        <v>211</v>
      </c>
    </row>
    <row r="158" spans="1:8" x14ac:dyDescent="0.3">
      <c r="A158" s="2"/>
      <c r="B158" s="6">
        <v>45808</v>
      </c>
      <c r="C158" s="3" t="s">
        <v>39</v>
      </c>
      <c r="D158" s="3" t="s">
        <v>37</v>
      </c>
      <c r="E158" s="3" t="s">
        <v>491</v>
      </c>
      <c r="F158" s="7">
        <v>36667.599999999999</v>
      </c>
      <c r="G158" t="s">
        <v>212</v>
      </c>
      <c r="H158" t="s">
        <v>211</v>
      </c>
    </row>
    <row r="159" spans="1:8" x14ac:dyDescent="0.3">
      <c r="A159" s="2"/>
      <c r="B159" s="6">
        <v>45808</v>
      </c>
      <c r="C159" s="3" t="s">
        <v>543</v>
      </c>
      <c r="D159" s="3" t="s">
        <v>37</v>
      </c>
      <c r="E159" s="3" t="s">
        <v>491</v>
      </c>
      <c r="F159" s="7">
        <v>10383.27</v>
      </c>
      <c r="G159" t="s">
        <v>212</v>
      </c>
      <c r="H159" t="s">
        <v>211</v>
      </c>
    </row>
    <row r="160" spans="1:8" x14ac:dyDescent="0.3">
      <c r="A160" s="2"/>
      <c r="B160" s="6">
        <v>45808</v>
      </c>
      <c r="C160" s="3" t="s">
        <v>543</v>
      </c>
      <c r="D160" s="3" t="s">
        <v>37</v>
      </c>
      <c r="E160" s="3" t="s">
        <v>492</v>
      </c>
      <c r="F160" s="7">
        <v>3571.98</v>
      </c>
      <c r="G160" t="s">
        <v>212</v>
      </c>
      <c r="H160" t="s">
        <v>211</v>
      </c>
    </row>
    <row r="161" spans="1:8" x14ac:dyDescent="0.3">
      <c r="A161" s="2"/>
      <c r="B161" s="6">
        <v>45808</v>
      </c>
      <c r="C161" s="3" t="s">
        <v>45</v>
      </c>
      <c r="D161" s="3" t="s">
        <v>37</v>
      </c>
      <c r="E161" s="3" t="s">
        <v>492</v>
      </c>
      <c r="F161" s="7">
        <v>1042.26</v>
      </c>
      <c r="G161" t="s">
        <v>212</v>
      </c>
      <c r="H161" t="s">
        <v>211</v>
      </c>
    </row>
    <row r="162" spans="1:8" x14ac:dyDescent="0.3">
      <c r="A162" s="2"/>
      <c r="B162" s="6">
        <v>45808</v>
      </c>
      <c r="C162" s="3" t="s">
        <v>45</v>
      </c>
      <c r="D162" s="3" t="s">
        <v>37</v>
      </c>
      <c r="E162" s="3" t="s">
        <v>491</v>
      </c>
      <c r="F162" s="7">
        <v>3029.73</v>
      </c>
      <c r="G162" t="s">
        <v>212</v>
      </c>
      <c r="H162" t="s">
        <v>211</v>
      </c>
    </row>
    <row r="163" spans="1:8" x14ac:dyDescent="0.3">
      <c r="A163" s="2"/>
      <c r="B163" s="6">
        <v>45808</v>
      </c>
      <c r="C163" s="3" t="s">
        <v>51</v>
      </c>
      <c r="D163" s="3" t="s">
        <v>251</v>
      </c>
      <c r="E163" s="3" t="s">
        <v>252</v>
      </c>
      <c r="F163" s="7">
        <v>22123.03</v>
      </c>
      <c r="G163" t="s">
        <v>218</v>
      </c>
      <c r="H163" t="s">
        <v>216</v>
      </c>
    </row>
    <row r="164" spans="1:8" x14ac:dyDescent="0.3">
      <c r="A164" s="2"/>
      <c r="B164" s="6">
        <v>45808</v>
      </c>
      <c r="C164" s="3" t="s">
        <v>53</v>
      </c>
      <c r="D164" s="3" t="s">
        <v>251</v>
      </c>
      <c r="E164" s="3" t="s">
        <v>252</v>
      </c>
      <c r="F164" s="7">
        <v>16324.59</v>
      </c>
      <c r="G164" t="s">
        <v>218</v>
      </c>
      <c r="H164" t="s">
        <v>216</v>
      </c>
    </row>
    <row r="165" spans="1:8" x14ac:dyDescent="0.3">
      <c r="A165" s="2"/>
      <c r="B165" s="6">
        <v>45808</v>
      </c>
      <c r="C165" s="3" t="s">
        <v>544</v>
      </c>
      <c r="D165" s="3" t="s">
        <v>251</v>
      </c>
      <c r="E165" s="3" t="s">
        <v>252</v>
      </c>
      <c r="F165" s="7">
        <v>6264.64</v>
      </c>
      <c r="G165" t="s">
        <v>218</v>
      </c>
      <c r="H165" t="s">
        <v>216</v>
      </c>
    </row>
    <row r="166" spans="1:8" x14ac:dyDescent="0.3">
      <c r="A166" s="2"/>
      <c r="B166" s="6">
        <v>45808</v>
      </c>
      <c r="C166" s="3" t="s">
        <v>58</v>
      </c>
      <c r="D166" s="3" t="s">
        <v>251</v>
      </c>
      <c r="E166" s="3" t="s">
        <v>252</v>
      </c>
      <c r="F166" s="7">
        <v>1827.96</v>
      </c>
      <c r="G166" t="s">
        <v>218</v>
      </c>
      <c r="H166" t="s">
        <v>216</v>
      </c>
    </row>
    <row r="167" spans="1:8" x14ac:dyDescent="0.3">
      <c r="A167" s="2"/>
      <c r="B167" s="6">
        <v>45808</v>
      </c>
      <c r="C167" s="3" t="s">
        <v>62</v>
      </c>
      <c r="D167" s="3" t="s">
        <v>251</v>
      </c>
      <c r="E167" s="3" t="s">
        <v>252</v>
      </c>
      <c r="F167" s="7">
        <v>276.7</v>
      </c>
      <c r="G167" t="s">
        <v>217</v>
      </c>
      <c r="H167" t="s">
        <v>216</v>
      </c>
    </row>
    <row r="168" spans="1:8" x14ac:dyDescent="0.3">
      <c r="A168" s="2"/>
      <c r="B168" s="6">
        <v>45808</v>
      </c>
      <c r="C168" s="3" t="s">
        <v>66</v>
      </c>
      <c r="D168" s="3" t="s">
        <v>251</v>
      </c>
      <c r="E168" s="3" t="s">
        <v>252</v>
      </c>
      <c r="F168" s="7">
        <v>5184.1899999999996</v>
      </c>
      <c r="G168" t="s">
        <v>219</v>
      </c>
      <c r="H168" t="s">
        <v>216</v>
      </c>
    </row>
    <row r="169" spans="1:8" x14ac:dyDescent="0.3">
      <c r="A169" s="2"/>
      <c r="B169" s="6">
        <v>45808</v>
      </c>
      <c r="C169" s="3" t="s">
        <v>67</v>
      </c>
      <c r="D169" s="3" t="s">
        <v>251</v>
      </c>
      <c r="E169" s="3" t="s">
        <v>252</v>
      </c>
      <c r="F169" s="7">
        <v>549.99</v>
      </c>
      <c r="G169" t="s">
        <v>219</v>
      </c>
      <c r="H169" t="s">
        <v>216</v>
      </c>
    </row>
    <row r="170" spans="1:8" x14ac:dyDescent="0.3">
      <c r="A170" s="2"/>
      <c r="B170" s="6">
        <v>45808</v>
      </c>
      <c r="C170" s="3" t="s">
        <v>68</v>
      </c>
      <c r="D170" s="3" t="s">
        <v>251</v>
      </c>
      <c r="E170" s="3" t="s">
        <v>252</v>
      </c>
      <c r="F170" s="7">
        <v>600</v>
      </c>
      <c r="G170" t="s">
        <v>219</v>
      </c>
      <c r="H170" t="s">
        <v>216</v>
      </c>
    </row>
    <row r="171" spans="1:8" x14ac:dyDescent="0.3">
      <c r="A171" s="2"/>
      <c r="B171" s="6">
        <v>45808</v>
      </c>
      <c r="C171" s="3" t="s">
        <v>70</v>
      </c>
      <c r="D171" s="3" t="s">
        <v>251</v>
      </c>
      <c r="E171" s="3" t="s">
        <v>252</v>
      </c>
      <c r="F171" s="7">
        <v>4000</v>
      </c>
      <c r="G171" t="s">
        <v>219</v>
      </c>
      <c r="H171" t="s">
        <v>216</v>
      </c>
    </row>
    <row r="172" spans="1:8" x14ac:dyDescent="0.3">
      <c r="A172" s="2"/>
      <c r="B172" s="6">
        <v>45808</v>
      </c>
      <c r="C172" s="3" t="s">
        <v>71</v>
      </c>
      <c r="D172" s="3" t="s">
        <v>251</v>
      </c>
      <c r="E172" s="3" t="s">
        <v>252</v>
      </c>
      <c r="F172" s="7">
        <v>3765.5</v>
      </c>
      <c r="G172" t="s">
        <v>219</v>
      </c>
      <c r="H172" t="s">
        <v>216</v>
      </c>
    </row>
    <row r="173" spans="1:8" x14ac:dyDescent="0.3">
      <c r="A173" s="2"/>
      <c r="B173" s="6">
        <v>45808</v>
      </c>
      <c r="C173" s="3" t="s">
        <v>75</v>
      </c>
      <c r="D173" s="3" t="s">
        <v>251</v>
      </c>
      <c r="E173" s="3" t="s">
        <v>252</v>
      </c>
      <c r="F173" s="7">
        <v>1717.69</v>
      </c>
      <c r="G173" t="s">
        <v>220</v>
      </c>
      <c r="H173" t="s">
        <v>216</v>
      </c>
    </row>
    <row r="174" spans="1:8" x14ac:dyDescent="0.3">
      <c r="A174" s="2"/>
      <c r="B174" s="6">
        <v>45808</v>
      </c>
      <c r="C174" s="3" t="s">
        <v>76</v>
      </c>
      <c r="D174" s="3" t="s">
        <v>251</v>
      </c>
      <c r="E174" s="3" t="s">
        <v>252</v>
      </c>
      <c r="F174" s="7">
        <v>468.68</v>
      </c>
      <c r="G174" t="s">
        <v>220</v>
      </c>
      <c r="H174" t="s">
        <v>216</v>
      </c>
    </row>
    <row r="175" spans="1:8" x14ac:dyDescent="0.3">
      <c r="A175" s="2"/>
      <c r="B175" s="6">
        <v>45808</v>
      </c>
      <c r="C175" s="3" t="s">
        <v>77</v>
      </c>
      <c r="D175" s="3" t="s">
        <v>251</v>
      </c>
      <c r="E175" s="3" t="s">
        <v>252</v>
      </c>
      <c r="F175" s="7">
        <v>648.37</v>
      </c>
      <c r="G175" t="s">
        <v>220</v>
      </c>
      <c r="H175" t="s">
        <v>216</v>
      </c>
    </row>
    <row r="176" spans="1:8" x14ac:dyDescent="0.3">
      <c r="A176" s="2"/>
      <c r="B176" s="6">
        <v>45808</v>
      </c>
      <c r="C176" s="3" t="s">
        <v>78</v>
      </c>
      <c r="D176" s="3" t="s">
        <v>251</v>
      </c>
      <c r="E176" s="3" t="s">
        <v>252</v>
      </c>
      <c r="F176" s="7">
        <v>162.25</v>
      </c>
      <c r="G176" t="s">
        <v>220</v>
      </c>
      <c r="H176" t="s">
        <v>216</v>
      </c>
    </row>
    <row r="177" spans="1:8" x14ac:dyDescent="0.3">
      <c r="A177" s="2"/>
      <c r="B177" s="6">
        <v>45808</v>
      </c>
      <c r="C177" s="3" t="s">
        <v>86</v>
      </c>
      <c r="D177" s="3" t="s">
        <v>251</v>
      </c>
      <c r="E177" s="3" t="s">
        <v>491</v>
      </c>
      <c r="F177" s="7">
        <v>95.35</v>
      </c>
      <c r="G177" t="s">
        <v>221</v>
      </c>
      <c r="H177" t="s">
        <v>216</v>
      </c>
    </row>
    <row r="178" spans="1:8" x14ac:dyDescent="0.3">
      <c r="A178" s="2"/>
      <c r="B178" s="6">
        <v>45808</v>
      </c>
      <c r="C178" s="3" t="s">
        <v>91</v>
      </c>
      <c r="D178" s="3" t="s">
        <v>251</v>
      </c>
      <c r="E178" s="3" t="s">
        <v>252</v>
      </c>
      <c r="F178" s="7">
        <v>200.72</v>
      </c>
      <c r="G178" t="s">
        <v>222</v>
      </c>
      <c r="H178" t="s">
        <v>216</v>
      </c>
    </row>
    <row r="179" spans="1:8" x14ac:dyDescent="0.3">
      <c r="A179" s="2"/>
      <c r="B179" s="6">
        <v>45808</v>
      </c>
      <c r="C179" s="3" t="s">
        <v>95</v>
      </c>
      <c r="D179" s="3" t="s">
        <v>251</v>
      </c>
      <c r="E179" s="3" t="s">
        <v>252</v>
      </c>
      <c r="F179" s="7">
        <v>200</v>
      </c>
      <c r="G179" t="s">
        <v>222</v>
      </c>
      <c r="H179" t="s">
        <v>216</v>
      </c>
    </row>
    <row r="180" spans="1:8" x14ac:dyDescent="0.3">
      <c r="A180" s="2"/>
      <c r="B180" s="6">
        <v>45808</v>
      </c>
      <c r="C180" s="3" t="s">
        <v>99</v>
      </c>
      <c r="D180" s="3" t="s">
        <v>251</v>
      </c>
      <c r="E180" s="3" t="s">
        <v>491</v>
      </c>
      <c r="F180" s="7">
        <v>1156.05</v>
      </c>
      <c r="G180" t="s">
        <v>126</v>
      </c>
      <c r="H180" t="s">
        <v>216</v>
      </c>
    </row>
    <row r="181" spans="1:8" x14ac:dyDescent="0.3">
      <c r="A181" s="2"/>
      <c r="B181" s="6">
        <v>45808</v>
      </c>
      <c r="C181" s="3" t="s">
        <v>99</v>
      </c>
      <c r="D181" s="3" t="s">
        <v>251</v>
      </c>
      <c r="E181" s="3" t="s">
        <v>252</v>
      </c>
      <c r="F181" s="7">
        <v>154.58000000000001</v>
      </c>
      <c r="G181" t="s">
        <v>126</v>
      </c>
      <c r="H181" t="s">
        <v>216</v>
      </c>
    </row>
    <row r="182" spans="1:8" x14ac:dyDescent="0.3">
      <c r="A182" s="2"/>
      <c r="B182" s="6">
        <v>45808</v>
      </c>
      <c r="C182" s="3" t="s">
        <v>100</v>
      </c>
      <c r="D182" s="3" t="s">
        <v>251</v>
      </c>
      <c r="E182" s="3" t="s">
        <v>252</v>
      </c>
      <c r="F182" s="7">
        <v>1282.94</v>
      </c>
      <c r="G182" t="s">
        <v>217</v>
      </c>
      <c r="H182" t="s">
        <v>216</v>
      </c>
    </row>
    <row r="183" spans="1:8" x14ac:dyDescent="0.3">
      <c r="A183" s="2"/>
      <c r="B183" s="6">
        <v>45808</v>
      </c>
      <c r="C183" s="3" t="s">
        <v>101</v>
      </c>
      <c r="D183" s="3" t="s">
        <v>251</v>
      </c>
      <c r="E183" s="3" t="s">
        <v>252</v>
      </c>
      <c r="F183" s="7">
        <v>26.19</v>
      </c>
      <c r="G183" t="s">
        <v>217</v>
      </c>
      <c r="H183" t="s">
        <v>216</v>
      </c>
    </row>
    <row r="184" spans="1:8" x14ac:dyDescent="0.3">
      <c r="A184" s="2"/>
      <c r="B184" s="6">
        <v>45808</v>
      </c>
      <c r="C184" s="3" t="s">
        <v>102</v>
      </c>
      <c r="D184" s="3" t="s">
        <v>251</v>
      </c>
      <c r="E184" s="3" t="s">
        <v>252</v>
      </c>
      <c r="F184" s="7">
        <v>534.44000000000005</v>
      </c>
      <c r="G184" t="s">
        <v>217</v>
      </c>
      <c r="H184" t="s">
        <v>216</v>
      </c>
    </row>
    <row r="185" spans="1:8" x14ac:dyDescent="0.3">
      <c r="A185" s="2"/>
      <c r="B185" s="6">
        <v>45808</v>
      </c>
      <c r="C185" s="3" t="s">
        <v>103</v>
      </c>
      <c r="D185" s="3" t="s">
        <v>251</v>
      </c>
      <c r="E185" s="3" t="s">
        <v>252</v>
      </c>
      <c r="F185" s="7">
        <v>997</v>
      </c>
      <c r="G185" t="s">
        <v>217</v>
      </c>
      <c r="H185" t="s">
        <v>216</v>
      </c>
    </row>
    <row r="186" spans="1:8" x14ac:dyDescent="0.3">
      <c r="A186" s="2"/>
      <c r="B186" s="6">
        <v>45808</v>
      </c>
      <c r="C186" s="3" t="s">
        <v>104</v>
      </c>
      <c r="D186" s="3" t="s">
        <v>251</v>
      </c>
      <c r="E186" s="3" t="s">
        <v>252</v>
      </c>
      <c r="F186" s="7">
        <v>321.73</v>
      </c>
      <c r="G186" t="s">
        <v>217</v>
      </c>
      <c r="H186" t="s">
        <v>216</v>
      </c>
    </row>
    <row r="187" spans="1:8" x14ac:dyDescent="0.3">
      <c r="A187" s="2"/>
      <c r="B187" s="6">
        <v>45808</v>
      </c>
      <c r="C187" s="3" t="s">
        <v>105</v>
      </c>
      <c r="D187" s="3" t="s">
        <v>251</v>
      </c>
      <c r="E187" s="3" t="s">
        <v>252</v>
      </c>
      <c r="F187" s="7">
        <v>41.23</v>
      </c>
      <c r="G187" t="s">
        <v>217</v>
      </c>
      <c r="H187" t="s">
        <v>216</v>
      </c>
    </row>
    <row r="188" spans="1:8" x14ac:dyDescent="0.3">
      <c r="A188" s="2"/>
      <c r="B188" s="6">
        <v>45808</v>
      </c>
      <c r="C188" s="3" t="s">
        <v>106</v>
      </c>
      <c r="D188" s="3" t="s">
        <v>251</v>
      </c>
      <c r="E188" s="3" t="s">
        <v>252</v>
      </c>
      <c r="F188" s="7">
        <v>45.38</v>
      </c>
      <c r="G188" t="s">
        <v>217</v>
      </c>
      <c r="H188" t="s">
        <v>216</v>
      </c>
    </row>
    <row r="189" spans="1:8" x14ac:dyDescent="0.3">
      <c r="A189" s="2"/>
      <c r="B189" s="6">
        <v>45808</v>
      </c>
      <c r="C189" s="3" t="s">
        <v>108</v>
      </c>
      <c r="D189" s="3" t="s">
        <v>251</v>
      </c>
      <c r="E189" s="3" t="s">
        <v>252</v>
      </c>
      <c r="F189" s="7">
        <v>232.12</v>
      </c>
      <c r="G189" t="s">
        <v>217</v>
      </c>
      <c r="H189" t="s">
        <v>216</v>
      </c>
    </row>
    <row r="190" spans="1:8" x14ac:dyDescent="0.3">
      <c r="A190" s="2"/>
      <c r="B190" s="6">
        <v>45808</v>
      </c>
      <c r="C190" s="3" t="s">
        <v>110</v>
      </c>
      <c r="D190" s="3" t="s">
        <v>251</v>
      </c>
      <c r="E190" s="3" t="s">
        <v>252</v>
      </c>
      <c r="F190" s="7">
        <v>500.52</v>
      </c>
      <c r="G190" t="s">
        <v>217</v>
      </c>
      <c r="H190" t="s">
        <v>216</v>
      </c>
    </row>
    <row r="191" spans="1:8" x14ac:dyDescent="0.3">
      <c r="A191" s="2"/>
      <c r="B191" s="6">
        <v>45808</v>
      </c>
      <c r="C191" s="3" t="s">
        <v>117</v>
      </c>
      <c r="D191" s="3" t="s">
        <v>251</v>
      </c>
      <c r="E191" s="3" t="s">
        <v>252</v>
      </c>
      <c r="F191" s="7">
        <v>643.15</v>
      </c>
      <c r="G191" t="s">
        <v>225</v>
      </c>
      <c r="H191" t="s">
        <v>216</v>
      </c>
    </row>
    <row r="192" spans="1:8" x14ac:dyDescent="0.3">
      <c r="A192" s="2"/>
      <c r="B192" s="6">
        <v>45808</v>
      </c>
      <c r="C192" s="3" t="s">
        <v>119</v>
      </c>
      <c r="D192" s="3" t="s">
        <v>251</v>
      </c>
      <c r="E192" s="3" t="s">
        <v>252</v>
      </c>
      <c r="F192" s="7">
        <v>199</v>
      </c>
      <c r="G192" t="s">
        <v>225</v>
      </c>
      <c r="H192" t="s">
        <v>216</v>
      </c>
    </row>
    <row r="193" spans="1:8" x14ac:dyDescent="0.3">
      <c r="A193" s="2"/>
      <c r="B193" s="6">
        <v>45838</v>
      </c>
      <c r="C193" s="3" t="s">
        <v>551</v>
      </c>
      <c r="D193" s="3" t="s">
        <v>34</v>
      </c>
      <c r="E193" s="3" t="s">
        <v>492</v>
      </c>
      <c r="F193" s="7">
        <v>95266.5</v>
      </c>
      <c r="G193" t="s">
        <v>492</v>
      </c>
      <c r="H193" t="s">
        <v>208</v>
      </c>
    </row>
    <row r="194" spans="1:8" x14ac:dyDescent="0.3">
      <c r="A194" s="2"/>
      <c r="B194" s="6">
        <v>45838</v>
      </c>
      <c r="C194" s="3" t="s">
        <v>560</v>
      </c>
      <c r="D194" s="3" t="s">
        <v>34</v>
      </c>
      <c r="E194" s="3" t="s">
        <v>491</v>
      </c>
      <c r="F194" s="7">
        <v>86973.96</v>
      </c>
      <c r="G194" t="s">
        <v>491</v>
      </c>
      <c r="H194" t="s">
        <v>208</v>
      </c>
    </row>
    <row r="195" spans="1:8" x14ac:dyDescent="0.3">
      <c r="A195" s="2"/>
      <c r="B195" s="6">
        <v>45838</v>
      </c>
      <c r="C195" s="3" t="s">
        <v>561</v>
      </c>
      <c r="D195" s="3" t="s">
        <v>34</v>
      </c>
      <c r="E195" s="3" t="s">
        <v>491</v>
      </c>
      <c r="F195" s="7">
        <v>4648.5</v>
      </c>
      <c r="G195" t="s">
        <v>491</v>
      </c>
      <c r="H195" t="s">
        <v>208</v>
      </c>
    </row>
    <row r="196" spans="1:8" x14ac:dyDescent="0.3">
      <c r="A196" s="2"/>
      <c r="B196" s="6">
        <v>45838</v>
      </c>
      <c r="C196" s="3" t="s">
        <v>552</v>
      </c>
      <c r="D196" s="3" t="s">
        <v>37</v>
      </c>
      <c r="E196" s="3" t="s">
        <v>492</v>
      </c>
      <c r="F196" s="7">
        <v>1539.59</v>
      </c>
      <c r="G196" t="s">
        <v>550</v>
      </c>
      <c r="H196" t="s">
        <v>211</v>
      </c>
    </row>
    <row r="197" spans="1:8" x14ac:dyDescent="0.3">
      <c r="A197" s="2"/>
      <c r="B197" s="6">
        <v>45838</v>
      </c>
      <c r="C197" s="3" t="s">
        <v>552</v>
      </c>
      <c r="D197" s="3" t="s">
        <v>37</v>
      </c>
      <c r="E197" s="3" t="s">
        <v>491</v>
      </c>
      <c r="F197" s="7">
        <v>18107.61</v>
      </c>
      <c r="G197" t="s">
        <v>550</v>
      </c>
      <c r="H197" t="s">
        <v>211</v>
      </c>
    </row>
    <row r="198" spans="1:8" x14ac:dyDescent="0.3">
      <c r="A198" s="2"/>
      <c r="B198" s="6">
        <v>45838</v>
      </c>
      <c r="C198" s="3" t="s">
        <v>39</v>
      </c>
      <c r="D198" s="3" t="s">
        <v>37</v>
      </c>
      <c r="E198" s="3" t="s">
        <v>491</v>
      </c>
      <c r="F198" s="7">
        <v>38277.14</v>
      </c>
      <c r="G198" t="s">
        <v>212</v>
      </c>
      <c r="H198" t="s">
        <v>211</v>
      </c>
    </row>
    <row r="199" spans="1:8" x14ac:dyDescent="0.3">
      <c r="A199" s="2"/>
      <c r="B199" s="6">
        <v>45838</v>
      </c>
      <c r="C199" s="3" t="s">
        <v>39</v>
      </c>
      <c r="D199" s="3" t="s">
        <v>37</v>
      </c>
      <c r="E199" s="3" t="s">
        <v>492</v>
      </c>
      <c r="F199" s="7">
        <v>13167.78</v>
      </c>
      <c r="G199" t="s">
        <v>212</v>
      </c>
      <c r="H199" t="s">
        <v>211</v>
      </c>
    </row>
    <row r="200" spans="1:8" x14ac:dyDescent="0.3">
      <c r="A200" s="2"/>
      <c r="B200" s="6">
        <v>45838</v>
      </c>
      <c r="C200" s="3" t="s">
        <v>543</v>
      </c>
      <c r="D200" s="3" t="s">
        <v>37</v>
      </c>
      <c r="E200" s="3" t="s">
        <v>491</v>
      </c>
      <c r="F200" s="7">
        <v>6679.89</v>
      </c>
      <c r="G200" t="s">
        <v>212</v>
      </c>
      <c r="H200" t="s">
        <v>211</v>
      </c>
    </row>
    <row r="201" spans="1:8" x14ac:dyDescent="0.3">
      <c r="A201" s="2"/>
      <c r="B201" s="6">
        <v>45838</v>
      </c>
      <c r="C201" s="3" t="s">
        <v>543</v>
      </c>
      <c r="D201" s="3" t="s">
        <v>37</v>
      </c>
      <c r="E201" s="3" t="s">
        <v>492</v>
      </c>
      <c r="F201" s="7">
        <v>2297.96</v>
      </c>
      <c r="G201" t="s">
        <v>212</v>
      </c>
      <c r="H201" t="s">
        <v>211</v>
      </c>
    </row>
    <row r="202" spans="1:8" x14ac:dyDescent="0.3">
      <c r="A202" s="2"/>
      <c r="B202" s="6">
        <v>45838</v>
      </c>
      <c r="C202" s="3" t="s">
        <v>41</v>
      </c>
      <c r="D202" s="3" t="s">
        <v>37</v>
      </c>
      <c r="E202" s="3" t="s">
        <v>492</v>
      </c>
      <c r="F202" s="7">
        <v>37.1</v>
      </c>
      <c r="G202" t="s">
        <v>212</v>
      </c>
      <c r="H202" t="s">
        <v>211</v>
      </c>
    </row>
    <row r="203" spans="1:8" x14ac:dyDescent="0.3">
      <c r="A203" s="2"/>
      <c r="B203" s="6">
        <v>45838</v>
      </c>
      <c r="C203" s="3" t="s">
        <v>41</v>
      </c>
      <c r="D203" s="3" t="s">
        <v>37</v>
      </c>
      <c r="E203" s="3" t="s">
        <v>491</v>
      </c>
      <c r="F203" s="7">
        <v>107.84</v>
      </c>
      <c r="G203" t="s">
        <v>212</v>
      </c>
      <c r="H203" t="s">
        <v>211</v>
      </c>
    </row>
    <row r="204" spans="1:8" x14ac:dyDescent="0.3">
      <c r="A204" s="2"/>
      <c r="B204" s="6">
        <v>45838</v>
      </c>
      <c r="C204" s="3" t="s">
        <v>45</v>
      </c>
      <c r="D204" s="3" t="s">
        <v>37</v>
      </c>
      <c r="E204" s="3" t="s">
        <v>492</v>
      </c>
      <c r="F204" s="7">
        <v>827.77</v>
      </c>
      <c r="G204" t="s">
        <v>212</v>
      </c>
      <c r="H204" t="s">
        <v>211</v>
      </c>
    </row>
    <row r="205" spans="1:8" x14ac:dyDescent="0.3">
      <c r="A205" s="2"/>
      <c r="B205" s="6">
        <v>45838</v>
      </c>
      <c r="C205" s="3" t="s">
        <v>45</v>
      </c>
      <c r="D205" s="3" t="s">
        <v>37</v>
      </c>
      <c r="E205" s="3" t="s">
        <v>491</v>
      </c>
      <c r="F205" s="7">
        <v>2406.23</v>
      </c>
      <c r="G205" t="s">
        <v>212</v>
      </c>
      <c r="H205" t="s">
        <v>211</v>
      </c>
    </row>
    <row r="206" spans="1:8" x14ac:dyDescent="0.3">
      <c r="A206" s="2"/>
      <c r="B206" s="6">
        <v>45838</v>
      </c>
      <c r="C206" s="3" t="s">
        <v>51</v>
      </c>
      <c r="D206" s="3" t="s">
        <v>251</v>
      </c>
      <c r="E206" s="3" t="s">
        <v>252</v>
      </c>
      <c r="F206" s="7">
        <v>23094.13</v>
      </c>
      <c r="G206" t="s">
        <v>218</v>
      </c>
      <c r="H206" t="s">
        <v>216</v>
      </c>
    </row>
    <row r="207" spans="1:8" x14ac:dyDescent="0.3">
      <c r="A207" s="2"/>
      <c r="B207" s="6">
        <v>45838</v>
      </c>
      <c r="C207" s="3" t="s">
        <v>53</v>
      </c>
      <c r="D207" s="3" t="s">
        <v>251</v>
      </c>
      <c r="E207" s="3" t="s">
        <v>252</v>
      </c>
      <c r="F207" s="7">
        <v>16324.57</v>
      </c>
      <c r="G207" t="s">
        <v>218</v>
      </c>
      <c r="H207" t="s">
        <v>216</v>
      </c>
    </row>
    <row r="208" spans="1:8" x14ac:dyDescent="0.3">
      <c r="A208" s="2"/>
      <c r="B208" s="6">
        <v>45838</v>
      </c>
      <c r="C208" s="3" t="s">
        <v>544</v>
      </c>
      <c r="D208" s="3" t="s">
        <v>251</v>
      </c>
      <c r="E208" s="3" t="s">
        <v>252</v>
      </c>
      <c r="F208" s="7">
        <v>4030.25</v>
      </c>
      <c r="G208" t="s">
        <v>218</v>
      </c>
      <c r="H208" t="s">
        <v>216</v>
      </c>
    </row>
    <row r="209" spans="1:8" x14ac:dyDescent="0.3">
      <c r="A209" s="2"/>
      <c r="B209" s="6">
        <v>45838</v>
      </c>
      <c r="C209" s="3" t="s">
        <v>54</v>
      </c>
      <c r="D209" s="3" t="s">
        <v>251</v>
      </c>
      <c r="E209" s="3" t="s">
        <v>252</v>
      </c>
      <c r="F209" s="7">
        <v>65.06</v>
      </c>
      <c r="G209" t="s">
        <v>218</v>
      </c>
      <c r="H209" t="s">
        <v>216</v>
      </c>
    </row>
    <row r="210" spans="1:8" x14ac:dyDescent="0.3">
      <c r="A210" s="2"/>
      <c r="B210" s="6">
        <v>45838</v>
      </c>
      <c r="C210" s="3" t="s">
        <v>58</v>
      </c>
      <c r="D210" s="3" t="s">
        <v>251</v>
      </c>
      <c r="E210" s="3" t="s">
        <v>252</v>
      </c>
      <c r="F210" s="7">
        <v>1451.78</v>
      </c>
      <c r="G210" t="s">
        <v>218</v>
      </c>
      <c r="H210" t="s">
        <v>216</v>
      </c>
    </row>
    <row r="211" spans="1:8" x14ac:dyDescent="0.3">
      <c r="A211" s="2"/>
      <c r="B211" s="6">
        <v>45838</v>
      </c>
      <c r="C211" s="3" t="s">
        <v>66</v>
      </c>
      <c r="D211" s="3" t="s">
        <v>251</v>
      </c>
      <c r="E211" s="3" t="s">
        <v>252</v>
      </c>
      <c r="F211" s="7">
        <v>4000</v>
      </c>
      <c r="G211" t="s">
        <v>219</v>
      </c>
      <c r="H211" t="s">
        <v>216</v>
      </c>
    </row>
    <row r="212" spans="1:8" x14ac:dyDescent="0.3">
      <c r="A212" s="2"/>
      <c r="B212" s="6">
        <v>45838</v>
      </c>
      <c r="C212" s="3" t="s">
        <v>68</v>
      </c>
      <c r="D212" s="3" t="s">
        <v>251</v>
      </c>
      <c r="E212" s="3" t="s">
        <v>252</v>
      </c>
      <c r="F212" s="7">
        <v>1950</v>
      </c>
      <c r="G212" t="s">
        <v>219</v>
      </c>
      <c r="H212" t="s">
        <v>216</v>
      </c>
    </row>
    <row r="213" spans="1:8" x14ac:dyDescent="0.3">
      <c r="A213" s="2"/>
      <c r="B213" s="6">
        <v>45838</v>
      </c>
      <c r="C213" s="3" t="s">
        <v>71</v>
      </c>
      <c r="D213" s="3" t="s">
        <v>251</v>
      </c>
      <c r="E213" s="3" t="s">
        <v>252</v>
      </c>
      <c r="F213" s="7">
        <v>2333.5300000000002</v>
      </c>
      <c r="G213" t="s">
        <v>219</v>
      </c>
      <c r="H213" t="s">
        <v>216</v>
      </c>
    </row>
    <row r="214" spans="1:8" x14ac:dyDescent="0.3">
      <c r="A214" s="2"/>
      <c r="B214" s="6">
        <v>45838</v>
      </c>
      <c r="C214" s="3" t="s">
        <v>72</v>
      </c>
      <c r="D214" s="3" t="s">
        <v>251</v>
      </c>
      <c r="E214" s="3" t="s">
        <v>252</v>
      </c>
      <c r="F214" s="7">
        <v>1500</v>
      </c>
      <c r="G214" t="s">
        <v>219</v>
      </c>
      <c r="H214" t="s">
        <v>216</v>
      </c>
    </row>
    <row r="215" spans="1:8" x14ac:dyDescent="0.3">
      <c r="A215" s="2"/>
      <c r="B215" s="6">
        <v>45838</v>
      </c>
      <c r="C215" s="3" t="s">
        <v>75</v>
      </c>
      <c r="D215" s="3" t="s">
        <v>251</v>
      </c>
      <c r="E215" s="3" t="s">
        <v>252</v>
      </c>
      <c r="F215" s="7">
        <v>59.95</v>
      </c>
      <c r="G215" t="s">
        <v>220</v>
      </c>
      <c r="H215" t="s">
        <v>216</v>
      </c>
    </row>
    <row r="216" spans="1:8" x14ac:dyDescent="0.3">
      <c r="A216" s="2"/>
      <c r="B216" s="6">
        <v>45838</v>
      </c>
      <c r="C216" s="3" t="s">
        <v>76</v>
      </c>
      <c r="D216" s="3" t="s">
        <v>251</v>
      </c>
      <c r="E216" s="3" t="s">
        <v>252</v>
      </c>
      <c r="F216" s="7">
        <v>-150.65</v>
      </c>
      <c r="G216" t="s">
        <v>220</v>
      </c>
      <c r="H216" t="s">
        <v>216</v>
      </c>
    </row>
    <row r="217" spans="1:8" x14ac:dyDescent="0.3">
      <c r="A217" s="2"/>
      <c r="B217" s="6">
        <v>45838</v>
      </c>
      <c r="C217" s="3" t="s">
        <v>91</v>
      </c>
      <c r="D217" s="3" t="s">
        <v>251</v>
      </c>
      <c r="E217" s="3" t="s">
        <v>252</v>
      </c>
      <c r="F217" s="7">
        <v>4124.99</v>
      </c>
      <c r="G217" t="s">
        <v>222</v>
      </c>
      <c r="H217" t="s">
        <v>216</v>
      </c>
    </row>
    <row r="218" spans="1:8" x14ac:dyDescent="0.3">
      <c r="A218" s="2"/>
      <c r="B218" s="6">
        <v>45838</v>
      </c>
      <c r="C218" s="3" t="s">
        <v>92</v>
      </c>
      <c r="D218" s="3" t="s">
        <v>251</v>
      </c>
      <c r="E218" s="3" t="s">
        <v>252</v>
      </c>
      <c r="F218" s="7">
        <v>206.38</v>
      </c>
      <c r="G218" t="s">
        <v>222</v>
      </c>
      <c r="H218" t="s">
        <v>216</v>
      </c>
    </row>
    <row r="219" spans="1:8" x14ac:dyDescent="0.3">
      <c r="A219" s="2"/>
      <c r="B219" s="6">
        <v>45838</v>
      </c>
      <c r="C219" s="3" t="s">
        <v>93</v>
      </c>
      <c r="D219" s="3" t="s">
        <v>251</v>
      </c>
      <c r="E219" s="3" t="s">
        <v>252</v>
      </c>
      <c r="F219" s="7">
        <v>610.74</v>
      </c>
      <c r="G219" t="s">
        <v>222</v>
      </c>
      <c r="H219" t="s">
        <v>216</v>
      </c>
    </row>
    <row r="220" spans="1:8" x14ac:dyDescent="0.3">
      <c r="A220" s="2"/>
      <c r="B220" s="6">
        <v>45838</v>
      </c>
      <c r="C220" s="3" t="s">
        <v>94</v>
      </c>
      <c r="D220" s="3" t="s">
        <v>251</v>
      </c>
      <c r="E220" s="3" t="s">
        <v>252</v>
      </c>
      <c r="F220" s="7">
        <v>206.02</v>
      </c>
      <c r="G220" t="s">
        <v>222</v>
      </c>
      <c r="H220" t="s">
        <v>216</v>
      </c>
    </row>
    <row r="221" spans="1:8" x14ac:dyDescent="0.3">
      <c r="A221" s="2"/>
      <c r="B221" s="6">
        <v>45838</v>
      </c>
      <c r="C221" s="3" t="s">
        <v>95</v>
      </c>
      <c r="D221" s="3" t="s">
        <v>251</v>
      </c>
      <c r="E221" s="3" t="s">
        <v>252</v>
      </c>
      <c r="F221" s="7">
        <v>3590.62</v>
      </c>
      <c r="G221" t="s">
        <v>222</v>
      </c>
      <c r="H221" t="s">
        <v>216</v>
      </c>
    </row>
    <row r="222" spans="1:8" x14ac:dyDescent="0.3">
      <c r="A222" s="2"/>
      <c r="B222" s="6">
        <v>45838</v>
      </c>
      <c r="C222" s="3" t="s">
        <v>99</v>
      </c>
      <c r="D222" s="3" t="s">
        <v>251</v>
      </c>
      <c r="E222" s="3" t="s">
        <v>491</v>
      </c>
      <c r="F222" s="7">
        <v>-126.92</v>
      </c>
      <c r="G222" t="s">
        <v>126</v>
      </c>
      <c r="H222" t="s">
        <v>216</v>
      </c>
    </row>
    <row r="223" spans="1:8" x14ac:dyDescent="0.3">
      <c r="A223" s="2"/>
      <c r="B223" s="6">
        <v>45838</v>
      </c>
      <c r="C223" s="3" t="s">
        <v>99</v>
      </c>
      <c r="D223" s="3" t="s">
        <v>251</v>
      </c>
      <c r="E223" s="3" t="s">
        <v>252</v>
      </c>
      <c r="F223" s="7">
        <v>1013.58</v>
      </c>
      <c r="G223" t="s">
        <v>126</v>
      </c>
      <c r="H223" t="s">
        <v>216</v>
      </c>
    </row>
    <row r="224" spans="1:8" x14ac:dyDescent="0.3">
      <c r="A224" s="2"/>
      <c r="B224" s="6">
        <v>45838</v>
      </c>
      <c r="C224" s="3" t="s">
        <v>101</v>
      </c>
      <c r="D224" s="3" t="s">
        <v>251</v>
      </c>
      <c r="E224" s="3" t="s">
        <v>252</v>
      </c>
      <c r="F224" s="7">
        <v>10.45</v>
      </c>
      <c r="G224" t="s">
        <v>217</v>
      </c>
      <c r="H224" t="s">
        <v>216</v>
      </c>
    </row>
    <row r="225" spans="1:8" x14ac:dyDescent="0.3">
      <c r="A225" s="2"/>
      <c r="B225" s="6">
        <v>45838</v>
      </c>
      <c r="C225" s="3" t="s">
        <v>102</v>
      </c>
      <c r="D225" s="3" t="s">
        <v>251</v>
      </c>
      <c r="E225" s="3" t="s">
        <v>252</v>
      </c>
      <c r="F225" s="7">
        <v>450</v>
      </c>
      <c r="G225" t="s">
        <v>217</v>
      </c>
      <c r="H225" t="s">
        <v>216</v>
      </c>
    </row>
    <row r="226" spans="1:8" x14ac:dyDescent="0.3">
      <c r="A226" s="2"/>
      <c r="B226" s="6">
        <v>45838</v>
      </c>
      <c r="C226" s="3" t="s">
        <v>105</v>
      </c>
      <c r="D226" s="3" t="s">
        <v>251</v>
      </c>
      <c r="E226" s="3" t="s">
        <v>252</v>
      </c>
      <c r="F226" s="7">
        <v>54.8</v>
      </c>
      <c r="G226" t="s">
        <v>217</v>
      </c>
      <c r="H226" t="s">
        <v>216</v>
      </c>
    </row>
    <row r="227" spans="1:8" x14ac:dyDescent="0.3">
      <c r="A227" s="2"/>
      <c r="B227" s="6">
        <v>45838</v>
      </c>
      <c r="C227" s="3" t="s">
        <v>106</v>
      </c>
      <c r="D227" s="3" t="s">
        <v>251</v>
      </c>
      <c r="E227" s="3" t="s">
        <v>252</v>
      </c>
      <c r="F227" s="7">
        <v>425.7</v>
      </c>
      <c r="G227" t="s">
        <v>217</v>
      </c>
      <c r="H227" t="s">
        <v>216</v>
      </c>
    </row>
    <row r="228" spans="1:8" x14ac:dyDescent="0.3">
      <c r="A228" s="2"/>
      <c r="B228" s="6">
        <v>45838</v>
      </c>
      <c r="C228" s="3" t="s">
        <v>107</v>
      </c>
      <c r="D228" s="3" t="s">
        <v>251</v>
      </c>
      <c r="E228" s="3" t="s">
        <v>252</v>
      </c>
      <c r="F228" s="7">
        <v>25</v>
      </c>
      <c r="G228" t="s">
        <v>217</v>
      </c>
      <c r="H228" t="s">
        <v>216</v>
      </c>
    </row>
    <row r="229" spans="1:8" x14ac:dyDescent="0.3">
      <c r="A229" s="2"/>
      <c r="B229" s="6">
        <v>45838</v>
      </c>
      <c r="C229" s="3" t="s">
        <v>109</v>
      </c>
      <c r="D229" s="3" t="s">
        <v>251</v>
      </c>
      <c r="E229" s="3" t="s">
        <v>252</v>
      </c>
      <c r="F229" s="7">
        <v>299</v>
      </c>
      <c r="G229" t="s">
        <v>217</v>
      </c>
      <c r="H229" t="s">
        <v>216</v>
      </c>
    </row>
    <row r="230" spans="1:8" x14ac:dyDescent="0.3">
      <c r="A230" s="2"/>
      <c r="B230" s="6">
        <v>45838</v>
      </c>
      <c r="C230" s="3" t="s">
        <v>110</v>
      </c>
      <c r="D230" s="3" t="s">
        <v>251</v>
      </c>
      <c r="E230" s="3" t="s">
        <v>252</v>
      </c>
      <c r="F230" s="7">
        <v>16.03</v>
      </c>
      <c r="G230" t="s">
        <v>217</v>
      </c>
      <c r="H230" t="s">
        <v>216</v>
      </c>
    </row>
    <row r="231" spans="1:8" x14ac:dyDescent="0.3">
      <c r="A231" s="2"/>
      <c r="B231" s="6">
        <v>45838</v>
      </c>
      <c r="C231" s="3" t="s">
        <v>114</v>
      </c>
      <c r="D231" s="3" t="s">
        <v>251</v>
      </c>
      <c r="E231" s="3" t="s">
        <v>252</v>
      </c>
      <c r="F231" s="7">
        <v>755.75</v>
      </c>
      <c r="G231" t="s">
        <v>223</v>
      </c>
      <c r="H231" t="s">
        <v>216</v>
      </c>
    </row>
    <row r="232" spans="1:8" x14ac:dyDescent="0.3">
      <c r="A232" s="2"/>
      <c r="B232" s="6">
        <v>45869</v>
      </c>
      <c r="C232" s="3" t="s">
        <v>551</v>
      </c>
      <c r="D232" s="3" t="s">
        <v>34</v>
      </c>
      <c r="E232" s="3" t="s">
        <v>492</v>
      </c>
      <c r="F232" s="7">
        <v>60342.11</v>
      </c>
      <c r="G232" t="s">
        <v>492</v>
      </c>
      <c r="H232" t="s">
        <v>208</v>
      </c>
    </row>
    <row r="233" spans="1:8" x14ac:dyDescent="0.3">
      <c r="A233" s="2"/>
      <c r="B233" s="6">
        <v>45869</v>
      </c>
      <c r="C233" s="3" t="s">
        <v>560</v>
      </c>
      <c r="D233" s="3" t="s">
        <v>34</v>
      </c>
      <c r="E233" s="3" t="s">
        <v>491</v>
      </c>
      <c r="F233" s="7">
        <v>20071.97</v>
      </c>
      <c r="G233" t="s">
        <v>491</v>
      </c>
      <c r="H233" t="s">
        <v>208</v>
      </c>
    </row>
    <row r="234" spans="1:8" x14ac:dyDescent="0.3">
      <c r="A234" s="2"/>
      <c r="B234" s="6">
        <v>45869</v>
      </c>
      <c r="C234" s="3" t="s">
        <v>561</v>
      </c>
      <c r="D234" s="3" t="s">
        <v>34</v>
      </c>
      <c r="E234" s="3" t="s">
        <v>491</v>
      </c>
      <c r="F234" s="7">
        <v>13702.14</v>
      </c>
      <c r="G234" t="s">
        <v>491</v>
      </c>
      <c r="H234" t="s">
        <v>208</v>
      </c>
    </row>
    <row r="235" spans="1:8" x14ac:dyDescent="0.3">
      <c r="A235" s="2"/>
      <c r="B235" s="6">
        <v>45869</v>
      </c>
      <c r="C235" s="3" t="s">
        <v>552</v>
      </c>
      <c r="D235" s="3" t="s">
        <v>37</v>
      </c>
      <c r="E235" s="3" t="s">
        <v>491</v>
      </c>
      <c r="F235" s="7">
        <v>36251.81</v>
      </c>
      <c r="G235" t="s">
        <v>550</v>
      </c>
      <c r="H235" t="s">
        <v>211</v>
      </c>
    </row>
    <row r="236" spans="1:8" x14ac:dyDescent="0.3">
      <c r="A236" s="2"/>
      <c r="B236" s="6">
        <v>45869</v>
      </c>
      <c r="C236" s="3" t="s">
        <v>552</v>
      </c>
      <c r="D236" s="3" t="s">
        <v>37</v>
      </c>
      <c r="E236" s="3" t="s">
        <v>492</v>
      </c>
      <c r="F236" s="7">
        <v>44872</v>
      </c>
      <c r="G236" t="s">
        <v>550</v>
      </c>
      <c r="H236" t="s">
        <v>211</v>
      </c>
    </row>
    <row r="237" spans="1:8" x14ac:dyDescent="0.3">
      <c r="A237" s="2"/>
      <c r="B237" s="6">
        <v>45869</v>
      </c>
      <c r="C237" s="3" t="s">
        <v>39</v>
      </c>
      <c r="D237" s="3" t="s">
        <v>37</v>
      </c>
      <c r="E237" s="3" t="s">
        <v>491</v>
      </c>
      <c r="F237" s="7">
        <v>34991.72</v>
      </c>
      <c r="G237" t="s">
        <v>212</v>
      </c>
      <c r="H237" t="s">
        <v>211</v>
      </c>
    </row>
    <row r="238" spans="1:8" x14ac:dyDescent="0.3">
      <c r="A238" s="2"/>
      <c r="B238" s="6">
        <v>45869</v>
      </c>
      <c r="C238" s="3" t="s">
        <v>39</v>
      </c>
      <c r="D238" s="3" t="s">
        <v>37</v>
      </c>
      <c r="E238" s="3" t="s">
        <v>492</v>
      </c>
      <c r="F238" s="7">
        <v>12037.56</v>
      </c>
      <c r="G238" t="s">
        <v>212</v>
      </c>
      <c r="H238" t="s">
        <v>211</v>
      </c>
    </row>
    <row r="239" spans="1:8" x14ac:dyDescent="0.3">
      <c r="A239" s="2"/>
      <c r="B239" s="6">
        <v>45869</v>
      </c>
      <c r="C239" s="3" t="s">
        <v>543</v>
      </c>
      <c r="D239" s="3" t="s">
        <v>37</v>
      </c>
      <c r="E239" s="3" t="s">
        <v>491</v>
      </c>
      <c r="F239" s="7">
        <v>6963.73</v>
      </c>
      <c r="G239" t="s">
        <v>212</v>
      </c>
      <c r="H239" t="s">
        <v>211</v>
      </c>
    </row>
    <row r="240" spans="1:8" x14ac:dyDescent="0.3">
      <c r="A240" s="2"/>
      <c r="B240" s="6">
        <v>45869</v>
      </c>
      <c r="C240" s="3" t="s">
        <v>543</v>
      </c>
      <c r="D240" s="3" t="s">
        <v>37</v>
      </c>
      <c r="E240" s="3" t="s">
        <v>492</v>
      </c>
      <c r="F240" s="7">
        <v>2395.6</v>
      </c>
      <c r="G240" t="s">
        <v>212</v>
      </c>
      <c r="H240" t="s">
        <v>211</v>
      </c>
    </row>
    <row r="241" spans="1:8" x14ac:dyDescent="0.3">
      <c r="A241" s="2"/>
      <c r="B241" s="6">
        <v>45869</v>
      </c>
      <c r="C241" s="3" t="s">
        <v>42</v>
      </c>
      <c r="D241" s="3" t="s">
        <v>37</v>
      </c>
      <c r="E241" s="3" t="s">
        <v>491</v>
      </c>
      <c r="F241" s="7">
        <v>854.12</v>
      </c>
      <c r="G241" t="s">
        <v>212</v>
      </c>
      <c r="H241" t="s">
        <v>211</v>
      </c>
    </row>
    <row r="242" spans="1:8" x14ac:dyDescent="0.3">
      <c r="A242" s="2"/>
      <c r="B242" s="6">
        <v>45869</v>
      </c>
      <c r="C242" s="3" t="s">
        <v>42</v>
      </c>
      <c r="D242" s="3" t="s">
        <v>37</v>
      </c>
      <c r="E242" s="3" t="s">
        <v>492</v>
      </c>
      <c r="F242" s="7">
        <v>293.83</v>
      </c>
      <c r="G242" t="s">
        <v>212</v>
      </c>
      <c r="H242" t="s">
        <v>211</v>
      </c>
    </row>
    <row r="243" spans="1:8" x14ac:dyDescent="0.3">
      <c r="A243" s="2"/>
      <c r="B243" s="6">
        <v>45869</v>
      </c>
      <c r="C243" s="3" t="s">
        <v>45</v>
      </c>
      <c r="D243" s="3" t="s">
        <v>37</v>
      </c>
      <c r="E243" s="3" t="s">
        <v>492</v>
      </c>
      <c r="F243" s="7">
        <v>971.33</v>
      </c>
      <c r="G243" t="s">
        <v>212</v>
      </c>
      <c r="H243" t="s">
        <v>211</v>
      </c>
    </row>
    <row r="244" spans="1:8" x14ac:dyDescent="0.3">
      <c r="A244" s="2"/>
      <c r="B244" s="6">
        <v>45869</v>
      </c>
      <c r="C244" s="3" t="s">
        <v>45</v>
      </c>
      <c r="D244" s="3" t="s">
        <v>37</v>
      </c>
      <c r="E244" s="3" t="s">
        <v>491</v>
      </c>
      <c r="F244" s="7">
        <v>2823.54</v>
      </c>
      <c r="G244" t="s">
        <v>212</v>
      </c>
      <c r="H244" t="s">
        <v>211</v>
      </c>
    </row>
    <row r="245" spans="1:8" x14ac:dyDescent="0.3">
      <c r="A245" s="2"/>
      <c r="B245" s="6">
        <v>45869</v>
      </c>
      <c r="C245" s="3" t="s">
        <v>51</v>
      </c>
      <c r="D245" s="3" t="s">
        <v>251</v>
      </c>
      <c r="E245" s="3" t="s">
        <v>252</v>
      </c>
      <c r="F245" s="7">
        <v>21111.91</v>
      </c>
      <c r="G245" t="s">
        <v>218</v>
      </c>
      <c r="H245" t="s">
        <v>216</v>
      </c>
    </row>
    <row r="246" spans="1:8" x14ac:dyDescent="0.3">
      <c r="A246" s="2"/>
      <c r="B246" s="6">
        <v>45869</v>
      </c>
      <c r="C246" s="3" t="s">
        <v>53</v>
      </c>
      <c r="D246" s="3" t="s">
        <v>251</v>
      </c>
      <c r="E246" s="3" t="s">
        <v>252</v>
      </c>
      <c r="F246" s="7">
        <v>16324.58</v>
      </c>
      <c r="G246" t="s">
        <v>218</v>
      </c>
      <c r="H246" t="s">
        <v>216</v>
      </c>
    </row>
    <row r="247" spans="1:8" x14ac:dyDescent="0.3">
      <c r="A247" s="2"/>
      <c r="B247" s="6">
        <v>45869</v>
      </c>
      <c r="C247" s="3" t="s">
        <v>544</v>
      </c>
      <c r="D247" s="3" t="s">
        <v>251</v>
      </c>
      <c r="E247" s="3" t="s">
        <v>252</v>
      </c>
      <c r="F247" s="7">
        <v>4201.5</v>
      </c>
      <c r="G247" t="s">
        <v>218</v>
      </c>
      <c r="H247" t="s">
        <v>216</v>
      </c>
    </row>
    <row r="248" spans="1:8" x14ac:dyDescent="0.3">
      <c r="A248" s="2"/>
      <c r="B248" s="6">
        <v>45869</v>
      </c>
      <c r="C248" s="3" t="s">
        <v>55</v>
      </c>
      <c r="D248" s="3" t="s">
        <v>251</v>
      </c>
      <c r="E248" s="3" t="s">
        <v>252</v>
      </c>
      <c r="F248" s="7">
        <v>515.33000000000004</v>
      </c>
      <c r="G248" t="s">
        <v>218</v>
      </c>
      <c r="H248" t="s">
        <v>216</v>
      </c>
    </row>
    <row r="249" spans="1:8" x14ac:dyDescent="0.3">
      <c r="A249" s="2"/>
      <c r="B249" s="6">
        <v>45869</v>
      </c>
      <c r="C249" s="3" t="s">
        <v>58</v>
      </c>
      <c r="D249" s="3" t="s">
        <v>251</v>
      </c>
      <c r="E249" s="3" t="s">
        <v>252</v>
      </c>
      <c r="F249" s="7">
        <v>1703.55</v>
      </c>
      <c r="G249" t="s">
        <v>218</v>
      </c>
      <c r="H249" t="s">
        <v>216</v>
      </c>
    </row>
    <row r="250" spans="1:8" x14ac:dyDescent="0.3">
      <c r="A250" s="2"/>
      <c r="B250" s="6">
        <v>45869</v>
      </c>
      <c r="C250" s="3" t="s">
        <v>66</v>
      </c>
      <c r="D250" s="3" t="s">
        <v>251</v>
      </c>
      <c r="E250" s="3" t="s">
        <v>252</v>
      </c>
      <c r="F250" s="7">
        <v>2478.31</v>
      </c>
      <c r="G250" t="s">
        <v>219</v>
      </c>
      <c r="H250" t="s">
        <v>216</v>
      </c>
    </row>
    <row r="251" spans="1:8" x14ac:dyDescent="0.3">
      <c r="A251" s="2"/>
      <c r="B251" s="6">
        <v>45869</v>
      </c>
      <c r="C251" s="3" t="s">
        <v>68</v>
      </c>
      <c r="D251" s="3" t="s">
        <v>251</v>
      </c>
      <c r="E251" s="3" t="s">
        <v>252</v>
      </c>
      <c r="F251" s="7">
        <v>5800</v>
      </c>
      <c r="G251" t="s">
        <v>219</v>
      </c>
      <c r="H251" t="s">
        <v>216</v>
      </c>
    </row>
    <row r="252" spans="1:8" x14ac:dyDescent="0.3">
      <c r="A252" s="2"/>
      <c r="B252" s="6">
        <v>45869</v>
      </c>
      <c r="C252" s="3" t="s">
        <v>70</v>
      </c>
      <c r="D252" s="3" t="s">
        <v>251</v>
      </c>
      <c r="E252" s="3" t="s">
        <v>252</v>
      </c>
      <c r="F252" s="7">
        <v>2773.41</v>
      </c>
      <c r="G252" t="s">
        <v>219</v>
      </c>
      <c r="H252" t="s">
        <v>216</v>
      </c>
    </row>
    <row r="253" spans="1:8" x14ac:dyDescent="0.3">
      <c r="A253" s="2"/>
      <c r="B253" s="6">
        <v>45869</v>
      </c>
      <c r="C253" s="3" t="s">
        <v>71</v>
      </c>
      <c r="D253" s="3" t="s">
        <v>251</v>
      </c>
      <c r="E253" s="3" t="s">
        <v>252</v>
      </c>
      <c r="F253" s="7">
        <v>7080.73</v>
      </c>
      <c r="G253" t="s">
        <v>219</v>
      </c>
      <c r="H253" t="s">
        <v>216</v>
      </c>
    </row>
    <row r="254" spans="1:8" x14ac:dyDescent="0.3">
      <c r="A254" s="2"/>
      <c r="B254" s="6">
        <v>45869</v>
      </c>
      <c r="C254" s="3" t="s">
        <v>75</v>
      </c>
      <c r="D254" s="3" t="s">
        <v>251</v>
      </c>
      <c r="E254" s="3" t="s">
        <v>252</v>
      </c>
      <c r="F254" s="7">
        <v>59.95</v>
      </c>
      <c r="G254" t="s">
        <v>220</v>
      </c>
      <c r="H254" t="s">
        <v>216</v>
      </c>
    </row>
    <row r="255" spans="1:8" x14ac:dyDescent="0.3">
      <c r="A255" s="2"/>
      <c r="B255" s="6">
        <v>45869</v>
      </c>
      <c r="C255" s="3" t="s">
        <v>84</v>
      </c>
      <c r="D255" s="3" t="s">
        <v>251</v>
      </c>
      <c r="E255" s="3" t="s">
        <v>491</v>
      </c>
      <c r="F255" s="7">
        <v>507.96</v>
      </c>
      <c r="G255" t="s">
        <v>221</v>
      </c>
      <c r="H255" t="s">
        <v>216</v>
      </c>
    </row>
    <row r="256" spans="1:8" x14ac:dyDescent="0.3">
      <c r="A256" s="2"/>
      <c r="B256" s="6">
        <v>45869</v>
      </c>
      <c r="C256" s="3" t="s">
        <v>85</v>
      </c>
      <c r="D256" s="3" t="s">
        <v>251</v>
      </c>
      <c r="E256" s="3" t="s">
        <v>491</v>
      </c>
      <c r="F256" s="7">
        <v>367.47</v>
      </c>
      <c r="G256" t="s">
        <v>221</v>
      </c>
      <c r="H256" t="s">
        <v>216</v>
      </c>
    </row>
    <row r="257" spans="1:8" x14ac:dyDescent="0.3">
      <c r="A257" s="2"/>
      <c r="B257" s="6">
        <v>45869</v>
      </c>
      <c r="C257" s="3" t="s">
        <v>86</v>
      </c>
      <c r="D257" s="3" t="s">
        <v>251</v>
      </c>
      <c r="E257" s="3" t="s">
        <v>491</v>
      </c>
      <c r="F257" s="7">
        <v>366.03</v>
      </c>
      <c r="G257" t="s">
        <v>221</v>
      </c>
      <c r="H257" t="s">
        <v>216</v>
      </c>
    </row>
    <row r="258" spans="1:8" x14ac:dyDescent="0.3">
      <c r="A258" s="2"/>
      <c r="B258" s="6">
        <v>45869</v>
      </c>
      <c r="C258" s="3" t="s">
        <v>87</v>
      </c>
      <c r="D258" s="3" t="s">
        <v>251</v>
      </c>
      <c r="E258" s="3" t="s">
        <v>491</v>
      </c>
      <c r="F258" s="7">
        <v>53.46</v>
      </c>
      <c r="G258" t="s">
        <v>221</v>
      </c>
      <c r="H258" t="s">
        <v>216</v>
      </c>
    </row>
    <row r="259" spans="1:8" x14ac:dyDescent="0.3">
      <c r="A259" s="2"/>
      <c r="B259" s="6">
        <v>45869</v>
      </c>
      <c r="C259" s="3" t="s">
        <v>92</v>
      </c>
      <c r="D259" s="3" t="s">
        <v>251</v>
      </c>
      <c r="E259" s="3" t="s">
        <v>252</v>
      </c>
      <c r="F259" s="7">
        <v>2696.3</v>
      </c>
      <c r="G259" t="s">
        <v>222</v>
      </c>
      <c r="H259" t="s">
        <v>216</v>
      </c>
    </row>
    <row r="260" spans="1:8" x14ac:dyDescent="0.3">
      <c r="A260" s="2"/>
      <c r="B260" s="6">
        <v>45869</v>
      </c>
      <c r="C260" s="3" t="s">
        <v>93</v>
      </c>
      <c r="D260" s="3" t="s">
        <v>251</v>
      </c>
      <c r="E260" s="3" t="s">
        <v>252</v>
      </c>
      <c r="F260" s="7">
        <v>395.44</v>
      </c>
      <c r="G260" t="s">
        <v>222</v>
      </c>
      <c r="H260" t="s">
        <v>216</v>
      </c>
    </row>
    <row r="261" spans="1:8" x14ac:dyDescent="0.3">
      <c r="A261" s="2"/>
      <c r="B261" s="6">
        <v>45869</v>
      </c>
      <c r="C261" s="3" t="s">
        <v>94</v>
      </c>
      <c r="D261" s="3" t="s">
        <v>251</v>
      </c>
      <c r="E261" s="3" t="s">
        <v>252</v>
      </c>
      <c r="F261" s="7">
        <v>142.99</v>
      </c>
      <c r="G261" t="s">
        <v>222</v>
      </c>
      <c r="H261" t="s">
        <v>216</v>
      </c>
    </row>
    <row r="262" spans="1:8" x14ac:dyDescent="0.3">
      <c r="A262" s="2"/>
      <c r="B262" s="6">
        <v>45869</v>
      </c>
      <c r="C262" s="3" t="s">
        <v>96</v>
      </c>
      <c r="D262" s="3" t="s">
        <v>251</v>
      </c>
      <c r="E262" s="3" t="s">
        <v>252</v>
      </c>
      <c r="F262" s="7">
        <v>32.92</v>
      </c>
      <c r="G262" t="s">
        <v>222</v>
      </c>
      <c r="H262" t="s">
        <v>216</v>
      </c>
    </row>
    <row r="263" spans="1:8" x14ac:dyDescent="0.3">
      <c r="A263" s="2"/>
      <c r="B263" s="6">
        <v>45869</v>
      </c>
      <c r="C263" s="3" t="s">
        <v>99</v>
      </c>
      <c r="D263" s="3" t="s">
        <v>251</v>
      </c>
      <c r="E263" s="3" t="s">
        <v>252</v>
      </c>
      <c r="F263" s="7">
        <v>1087.8399999999999</v>
      </c>
      <c r="G263" t="s">
        <v>126</v>
      </c>
      <c r="H263" t="s">
        <v>216</v>
      </c>
    </row>
    <row r="264" spans="1:8" x14ac:dyDescent="0.3">
      <c r="A264" s="2"/>
      <c r="B264" s="6">
        <v>45869</v>
      </c>
      <c r="C264" s="3" t="s">
        <v>99</v>
      </c>
      <c r="D264" s="3" t="s">
        <v>251</v>
      </c>
      <c r="E264" s="3" t="s">
        <v>491</v>
      </c>
      <c r="F264" s="7">
        <v>1973.08</v>
      </c>
      <c r="G264" t="s">
        <v>126</v>
      </c>
      <c r="H264" t="s">
        <v>216</v>
      </c>
    </row>
    <row r="265" spans="1:8" x14ac:dyDescent="0.3">
      <c r="A265" s="2"/>
      <c r="B265" s="6">
        <v>45869</v>
      </c>
      <c r="C265" s="3" t="s">
        <v>101</v>
      </c>
      <c r="D265" s="3" t="s">
        <v>251</v>
      </c>
      <c r="E265" s="3" t="s">
        <v>252</v>
      </c>
      <c r="F265" s="7">
        <v>230.3</v>
      </c>
      <c r="G265" t="s">
        <v>217</v>
      </c>
      <c r="H265" t="s">
        <v>216</v>
      </c>
    </row>
    <row r="266" spans="1:8" x14ac:dyDescent="0.3">
      <c r="A266" s="2"/>
      <c r="B266" s="6">
        <v>45869</v>
      </c>
      <c r="C266" s="3" t="s">
        <v>102</v>
      </c>
      <c r="D266" s="3" t="s">
        <v>251</v>
      </c>
      <c r="E266" s="3" t="s">
        <v>252</v>
      </c>
      <c r="F266" s="7">
        <v>560</v>
      </c>
      <c r="G266" t="s">
        <v>217</v>
      </c>
      <c r="H266" t="s">
        <v>216</v>
      </c>
    </row>
    <row r="267" spans="1:8" x14ac:dyDescent="0.3">
      <c r="A267" s="2"/>
      <c r="B267" s="6">
        <v>45869</v>
      </c>
      <c r="C267" s="3" t="s">
        <v>105</v>
      </c>
      <c r="D267" s="3" t="s">
        <v>251</v>
      </c>
      <c r="E267" s="3" t="s">
        <v>252</v>
      </c>
      <c r="F267" s="7">
        <v>22.73</v>
      </c>
      <c r="G267" t="s">
        <v>217</v>
      </c>
      <c r="H267" t="s">
        <v>216</v>
      </c>
    </row>
    <row r="268" spans="1:8" x14ac:dyDescent="0.3">
      <c r="A268" s="2"/>
      <c r="B268" s="6">
        <v>45869</v>
      </c>
      <c r="C268" s="3" t="s">
        <v>110</v>
      </c>
      <c r="D268" s="3" t="s">
        <v>251</v>
      </c>
      <c r="E268" s="3" t="s">
        <v>252</v>
      </c>
      <c r="F268" s="7">
        <v>37.97</v>
      </c>
      <c r="G268" t="s">
        <v>217</v>
      </c>
      <c r="H268" t="s">
        <v>216</v>
      </c>
    </row>
    <row r="269" spans="1:8" x14ac:dyDescent="0.3">
      <c r="A269" s="2"/>
      <c r="B269" s="6">
        <v>45900</v>
      </c>
      <c r="C269" s="3" t="s">
        <v>551</v>
      </c>
      <c r="D269" s="3" t="s">
        <v>34</v>
      </c>
      <c r="E269" s="3" t="s">
        <v>492</v>
      </c>
      <c r="F269" s="7">
        <v>110848.92</v>
      </c>
      <c r="G269" t="s">
        <v>492</v>
      </c>
      <c r="H269" t="s">
        <v>208</v>
      </c>
    </row>
    <row r="270" spans="1:8" x14ac:dyDescent="0.3">
      <c r="A270" s="2"/>
      <c r="B270" s="6">
        <v>45900</v>
      </c>
      <c r="C270" s="3" t="s">
        <v>551</v>
      </c>
      <c r="D270" s="3" t="s">
        <v>34</v>
      </c>
      <c r="E270" s="3"/>
      <c r="F270" s="7">
        <v>-120</v>
      </c>
      <c r="G270" t="s">
        <v>492</v>
      </c>
      <c r="H270" t="s">
        <v>208</v>
      </c>
    </row>
    <row r="271" spans="1:8" x14ac:dyDescent="0.3">
      <c r="A271" s="2"/>
      <c r="B271" s="6">
        <v>45900</v>
      </c>
      <c r="C271" s="3" t="s">
        <v>560</v>
      </c>
      <c r="D271" s="3" t="s">
        <v>34</v>
      </c>
      <c r="E271" s="3" t="s">
        <v>491</v>
      </c>
      <c r="F271" s="7">
        <v>26621.68</v>
      </c>
      <c r="G271" t="s">
        <v>491</v>
      </c>
      <c r="H271" t="s">
        <v>208</v>
      </c>
    </row>
    <row r="272" spans="1:8" x14ac:dyDescent="0.3">
      <c r="A272" s="2"/>
      <c r="B272" s="6">
        <v>45900</v>
      </c>
      <c r="C272" s="3" t="s">
        <v>561</v>
      </c>
      <c r="D272" s="3" t="s">
        <v>34</v>
      </c>
      <c r="E272" s="3" t="s">
        <v>491</v>
      </c>
      <c r="F272" s="7">
        <v>29230.2</v>
      </c>
      <c r="G272" t="s">
        <v>491</v>
      </c>
      <c r="H272" t="s">
        <v>208</v>
      </c>
    </row>
    <row r="273" spans="1:8" x14ac:dyDescent="0.3">
      <c r="A273" s="2"/>
      <c r="B273" s="6">
        <v>45900</v>
      </c>
      <c r="C273" s="3" t="s">
        <v>552</v>
      </c>
      <c r="D273" s="3" t="s">
        <v>37</v>
      </c>
      <c r="E273" s="3" t="s">
        <v>492</v>
      </c>
      <c r="F273" s="7">
        <v>3900</v>
      </c>
      <c r="G273" t="s">
        <v>550</v>
      </c>
      <c r="H273" t="s">
        <v>211</v>
      </c>
    </row>
    <row r="274" spans="1:8" x14ac:dyDescent="0.3">
      <c r="A274" s="2"/>
      <c r="B274" s="6">
        <v>45900</v>
      </c>
      <c r="C274" s="3" t="s">
        <v>552</v>
      </c>
      <c r="D274" s="3" t="s">
        <v>37</v>
      </c>
      <c r="E274" s="3" t="s">
        <v>491</v>
      </c>
      <c r="F274" s="7">
        <v>1293</v>
      </c>
      <c r="G274" t="s">
        <v>550</v>
      </c>
      <c r="H274" t="s">
        <v>211</v>
      </c>
    </row>
    <row r="275" spans="1:8" x14ac:dyDescent="0.3">
      <c r="A275" s="2"/>
      <c r="B275" s="6">
        <v>45900</v>
      </c>
      <c r="C275" s="3" t="s">
        <v>39</v>
      </c>
      <c r="D275" s="3" t="s">
        <v>37</v>
      </c>
      <c r="E275" s="3" t="s">
        <v>492</v>
      </c>
      <c r="F275" s="7">
        <v>18607.96</v>
      </c>
      <c r="G275" t="s">
        <v>212</v>
      </c>
      <c r="H275" t="s">
        <v>211</v>
      </c>
    </row>
    <row r="276" spans="1:8" x14ac:dyDescent="0.3">
      <c r="A276" s="2"/>
      <c r="B276" s="6">
        <v>45900</v>
      </c>
      <c r="C276" s="3" t="s">
        <v>39</v>
      </c>
      <c r="D276" s="3" t="s">
        <v>37</v>
      </c>
      <c r="E276" s="3" t="s">
        <v>491</v>
      </c>
      <c r="F276" s="7">
        <v>54091.06</v>
      </c>
      <c r="G276" t="s">
        <v>212</v>
      </c>
      <c r="H276" t="s">
        <v>211</v>
      </c>
    </row>
    <row r="277" spans="1:8" x14ac:dyDescent="0.3">
      <c r="A277" s="2"/>
      <c r="B277" s="6">
        <v>45900</v>
      </c>
      <c r="C277" s="3" t="s">
        <v>543</v>
      </c>
      <c r="D277" s="3" t="s">
        <v>37</v>
      </c>
      <c r="E277" s="3" t="s">
        <v>492</v>
      </c>
      <c r="F277" s="7">
        <v>1285.54</v>
      </c>
      <c r="G277" t="s">
        <v>212</v>
      </c>
      <c r="H277" t="s">
        <v>211</v>
      </c>
    </row>
    <row r="278" spans="1:8" x14ac:dyDescent="0.3">
      <c r="A278" s="2"/>
      <c r="B278" s="6">
        <v>45900</v>
      </c>
      <c r="C278" s="3" t="s">
        <v>543</v>
      </c>
      <c r="D278" s="3" t="s">
        <v>37</v>
      </c>
      <c r="E278" s="3" t="s">
        <v>491</v>
      </c>
      <c r="F278" s="7">
        <v>3736.93</v>
      </c>
      <c r="G278" t="s">
        <v>212</v>
      </c>
      <c r="H278" t="s">
        <v>211</v>
      </c>
    </row>
    <row r="279" spans="1:8" x14ac:dyDescent="0.3">
      <c r="A279" s="2"/>
      <c r="B279" s="6">
        <v>45900</v>
      </c>
      <c r="C279" s="3" t="s">
        <v>45</v>
      </c>
      <c r="D279" s="3" t="s">
        <v>37</v>
      </c>
      <c r="E279" s="3" t="s">
        <v>492</v>
      </c>
      <c r="F279" s="7">
        <v>-1074.02</v>
      </c>
      <c r="G279" t="s">
        <v>212</v>
      </c>
      <c r="H279" t="s">
        <v>211</v>
      </c>
    </row>
    <row r="280" spans="1:8" x14ac:dyDescent="0.3">
      <c r="A280" s="2"/>
      <c r="B280" s="6">
        <v>45900</v>
      </c>
      <c r="C280" s="3" t="s">
        <v>45</v>
      </c>
      <c r="D280" s="3" t="s">
        <v>37</v>
      </c>
      <c r="E280" s="3" t="s">
        <v>491</v>
      </c>
      <c r="F280" s="7">
        <v>-3122.04</v>
      </c>
      <c r="G280" t="s">
        <v>212</v>
      </c>
      <c r="H280" t="s">
        <v>211</v>
      </c>
    </row>
    <row r="281" spans="1:8" x14ac:dyDescent="0.3">
      <c r="A281" s="2"/>
      <c r="B281" s="6">
        <v>45900</v>
      </c>
      <c r="C281" s="3" t="s">
        <v>51</v>
      </c>
      <c r="D281" s="3" t="s">
        <v>251</v>
      </c>
      <c r="E281" s="3" t="s">
        <v>252</v>
      </c>
      <c r="F281" s="7">
        <v>32635.31</v>
      </c>
      <c r="G281" t="s">
        <v>218</v>
      </c>
      <c r="H281" t="s">
        <v>216</v>
      </c>
    </row>
    <row r="282" spans="1:8" x14ac:dyDescent="0.3">
      <c r="A282" s="2"/>
      <c r="B282" s="6">
        <v>45900</v>
      </c>
      <c r="C282" s="3" t="s">
        <v>53</v>
      </c>
      <c r="D282" s="3" t="s">
        <v>251</v>
      </c>
      <c r="E282" s="3" t="s">
        <v>252</v>
      </c>
      <c r="F282" s="7">
        <v>24486.87</v>
      </c>
      <c r="G282" t="s">
        <v>218</v>
      </c>
      <c r="H282" t="s">
        <v>216</v>
      </c>
    </row>
    <row r="283" spans="1:8" x14ac:dyDescent="0.3">
      <c r="A283" s="2"/>
      <c r="B283" s="6">
        <v>45900</v>
      </c>
      <c r="C283" s="3" t="s">
        <v>544</v>
      </c>
      <c r="D283" s="3" t="s">
        <v>251</v>
      </c>
      <c r="E283" s="3" t="s">
        <v>252</v>
      </c>
      <c r="F283" s="7">
        <v>2254.64</v>
      </c>
      <c r="G283" t="s">
        <v>218</v>
      </c>
      <c r="H283" t="s">
        <v>216</v>
      </c>
    </row>
    <row r="284" spans="1:8" x14ac:dyDescent="0.3">
      <c r="A284" s="2"/>
      <c r="B284" s="6">
        <v>45900</v>
      </c>
      <c r="C284" s="3" t="s">
        <v>58</v>
      </c>
      <c r="D284" s="3" t="s">
        <v>251</v>
      </c>
      <c r="E284" s="3" t="s">
        <v>252</v>
      </c>
      <c r="F284" s="7">
        <v>-1883.65</v>
      </c>
      <c r="G284" t="s">
        <v>218</v>
      </c>
      <c r="H284" t="s">
        <v>216</v>
      </c>
    </row>
    <row r="285" spans="1:8" x14ac:dyDescent="0.3">
      <c r="A285" s="2"/>
      <c r="B285" s="6">
        <v>45900</v>
      </c>
      <c r="C285" s="3" t="s">
        <v>62</v>
      </c>
      <c r="D285" s="3" t="s">
        <v>251</v>
      </c>
      <c r="E285" s="3" t="s">
        <v>252</v>
      </c>
      <c r="F285" s="7">
        <v>22.85</v>
      </c>
      <c r="G285" t="s">
        <v>217</v>
      </c>
      <c r="H285" t="s">
        <v>216</v>
      </c>
    </row>
    <row r="286" spans="1:8" x14ac:dyDescent="0.3">
      <c r="A286" s="2"/>
      <c r="B286" s="6">
        <v>45900</v>
      </c>
      <c r="C286" s="3" t="s">
        <v>66</v>
      </c>
      <c r="D286" s="3" t="s">
        <v>251</v>
      </c>
      <c r="E286" s="3" t="s">
        <v>252</v>
      </c>
      <c r="F286" s="7">
        <v>687.45</v>
      </c>
      <c r="G286" t="s">
        <v>219</v>
      </c>
      <c r="H286" t="s">
        <v>216</v>
      </c>
    </row>
    <row r="287" spans="1:8" x14ac:dyDescent="0.3">
      <c r="A287" s="2"/>
      <c r="B287" s="6">
        <v>45900</v>
      </c>
      <c r="C287" s="3" t="s">
        <v>68</v>
      </c>
      <c r="D287" s="3" t="s">
        <v>251</v>
      </c>
      <c r="E287" s="3" t="s">
        <v>252</v>
      </c>
      <c r="F287" s="7">
        <v>5800</v>
      </c>
      <c r="G287" t="s">
        <v>219</v>
      </c>
      <c r="H287" t="s">
        <v>216</v>
      </c>
    </row>
    <row r="288" spans="1:8" x14ac:dyDescent="0.3">
      <c r="A288" s="2"/>
      <c r="B288" s="6">
        <v>45900</v>
      </c>
      <c r="C288" s="3" t="s">
        <v>70</v>
      </c>
      <c r="D288" s="3" t="s">
        <v>251</v>
      </c>
      <c r="E288" s="3" t="s">
        <v>252</v>
      </c>
      <c r="F288" s="7">
        <v>2375</v>
      </c>
      <c r="G288" t="s">
        <v>219</v>
      </c>
      <c r="H288" t="s">
        <v>216</v>
      </c>
    </row>
    <row r="289" spans="1:8" x14ac:dyDescent="0.3">
      <c r="A289" s="2"/>
      <c r="B289" s="6">
        <v>45900</v>
      </c>
      <c r="C289" s="3" t="s">
        <v>71</v>
      </c>
      <c r="D289" s="3" t="s">
        <v>251</v>
      </c>
      <c r="E289" s="3" t="s">
        <v>252</v>
      </c>
      <c r="F289" s="7">
        <v>2036.76</v>
      </c>
      <c r="G289" t="s">
        <v>219</v>
      </c>
      <c r="H289" t="s">
        <v>216</v>
      </c>
    </row>
    <row r="290" spans="1:8" x14ac:dyDescent="0.3">
      <c r="A290" s="2"/>
      <c r="B290" s="6">
        <v>45900</v>
      </c>
      <c r="C290" s="3" t="s">
        <v>75</v>
      </c>
      <c r="D290" s="3" t="s">
        <v>251</v>
      </c>
      <c r="E290" s="3" t="s">
        <v>252</v>
      </c>
      <c r="F290" s="7">
        <v>74.94</v>
      </c>
      <c r="G290" t="s">
        <v>220</v>
      </c>
      <c r="H290" t="s">
        <v>216</v>
      </c>
    </row>
    <row r="291" spans="1:8" x14ac:dyDescent="0.3">
      <c r="A291" s="2"/>
      <c r="B291" s="6">
        <v>45900</v>
      </c>
      <c r="C291" s="3" t="s">
        <v>84</v>
      </c>
      <c r="D291" s="3" t="s">
        <v>251</v>
      </c>
      <c r="E291" s="3" t="s">
        <v>491</v>
      </c>
      <c r="F291" s="7">
        <v>336.48</v>
      </c>
      <c r="G291" t="s">
        <v>221</v>
      </c>
      <c r="H291" t="s">
        <v>216</v>
      </c>
    </row>
    <row r="292" spans="1:8" x14ac:dyDescent="0.3">
      <c r="A292" s="2"/>
      <c r="B292" s="6">
        <v>45900</v>
      </c>
      <c r="C292" s="3" t="s">
        <v>85</v>
      </c>
      <c r="D292" s="3" t="s">
        <v>251</v>
      </c>
      <c r="E292" s="3" t="s">
        <v>491</v>
      </c>
      <c r="F292" s="7">
        <v>724.4</v>
      </c>
      <c r="G292" t="s">
        <v>221</v>
      </c>
      <c r="H292" t="s">
        <v>216</v>
      </c>
    </row>
    <row r="293" spans="1:8" x14ac:dyDescent="0.3">
      <c r="A293" s="2"/>
      <c r="B293" s="6">
        <v>45900</v>
      </c>
      <c r="C293" s="3" t="s">
        <v>86</v>
      </c>
      <c r="D293" s="3" t="s">
        <v>251</v>
      </c>
      <c r="E293" s="3" t="s">
        <v>491</v>
      </c>
      <c r="F293" s="7">
        <v>887.29</v>
      </c>
      <c r="G293" t="s">
        <v>221</v>
      </c>
      <c r="H293" t="s">
        <v>216</v>
      </c>
    </row>
    <row r="294" spans="1:8" x14ac:dyDescent="0.3">
      <c r="A294" s="2"/>
      <c r="B294" s="6">
        <v>45900</v>
      </c>
      <c r="C294" s="3" t="s">
        <v>87</v>
      </c>
      <c r="D294" s="3" t="s">
        <v>251</v>
      </c>
      <c r="E294" s="3" t="s">
        <v>491</v>
      </c>
      <c r="F294" s="7">
        <v>138.58000000000001</v>
      </c>
      <c r="G294" t="s">
        <v>221</v>
      </c>
      <c r="H294" t="s">
        <v>216</v>
      </c>
    </row>
    <row r="295" spans="1:8" x14ac:dyDescent="0.3">
      <c r="A295" s="2"/>
      <c r="B295" s="6">
        <v>45900</v>
      </c>
      <c r="C295" s="3" t="s">
        <v>91</v>
      </c>
      <c r="D295" s="3" t="s">
        <v>251</v>
      </c>
      <c r="E295" s="3" t="s">
        <v>252</v>
      </c>
      <c r="F295" s="7">
        <v>299.48</v>
      </c>
      <c r="G295" t="s">
        <v>222</v>
      </c>
      <c r="H295" t="s">
        <v>216</v>
      </c>
    </row>
    <row r="296" spans="1:8" x14ac:dyDescent="0.3">
      <c r="A296" s="2"/>
      <c r="B296" s="6">
        <v>45900</v>
      </c>
      <c r="C296" s="3" t="s">
        <v>92</v>
      </c>
      <c r="D296" s="3" t="s">
        <v>251</v>
      </c>
      <c r="E296" s="3" t="s">
        <v>252</v>
      </c>
      <c r="F296" s="7">
        <v>28.55</v>
      </c>
      <c r="G296" t="s">
        <v>222</v>
      </c>
      <c r="H296" t="s">
        <v>216</v>
      </c>
    </row>
    <row r="297" spans="1:8" x14ac:dyDescent="0.3">
      <c r="A297" s="2"/>
      <c r="B297" s="6">
        <v>45900</v>
      </c>
      <c r="C297" s="3" t="s">
        <v>94</v>
      </c>
      <c r="D297" s="3" t="s">
        <v>251</v>
      </c>
      <c r="E297" s="3" t="s">
        <v>252</v>
      </c>
      <c r="F297" s="7">
        <v>27.89</v>
      </c>
      <c r="G297" t="s">
        <v>222</v>
      </c>
      <c r="H297" t="s">
        <v>216</v>
      </c>
    </row>
    <row r="298" spans="1:8" x14ac:dyDescent="0.3">
      <c r="A298" s="2"/>
      <c r="B298" s="6">
        <v>45900</v>
      </c>
      <c r="C298" s="3" t="s">
        <v>95</v>
      </c>
      <c r="D298" s="3" t="s">
        <v>251</v>
      </c>
      <c r="E298" s="3" t="s">
        <v>252</v>
      </c>
      <c r="F298" s="7">
        <v>545</v>
      </c>
      <c r="G298" t="s">
        <v>222</v>
      </c>
      <c r="H298" t="s">
        <v>216</v>
      </c>
    </row>
    <row r="299" spans="1:8" x14ac:dyDescent="0.3">
      <c r="A299" s="2"/>
      <c r="B299" s="6">
        <v>45900</v>
      </c>
      <c r="C299" s="3" t="s">
        <v>99</v>
      </c>
      <c r="D299" s="3" t="s">
        <v>251</v>
      </c>
      <c r="E299" s="3" t="s">
        <v>491</v>
      </c>
      <c r="F299" s="7">
        <v>-150</v>
      </c>
      <c r="G299" t="s">
        <v>126</v>
      </c>
      <c r="H299" t="s">
        <v>216</v>
      </c>
    </row>
    <row r="300" spans="1:8" x14ac:dyDescent="0.3">
      <c r="A300" s="2"/>
      <c r="B300" s="6">
        <v>45900</v>
      </c>
      <c r="C300" s="3" t="s">
        <v>99</v>
      </c>
      <c r="D300" s="3" t="s">
        <v>251</v>
      </c>
      <c r="E300" s="3" t="s">
        <v>252</v>
      </c>
      <c r="F300" s="7">
        <v>4465.1000000000004</v>
      </c>
      <c r="G300" t="s">
        <v>126</v>
      </c>
      <c r="H300" t="s">
        <v>216</v>
      </c>
    </row>
    <row r="301" spans="1:8" x14ac:dyDescent="0.3">
      <c r="A301" s="2"/>
      <c r="B301" s="6">
        <v>45900</v>
      </c>
      <c r="C301" s="3" t="s">
        <v>101</v>
      </c>
      <c r="D301" s="3" t="s">
        <v>251</v>
      </c>
      <c r="E301" s="3" t="s">
        <v>252</v>
      </c>
      <c r="F301" s="7">
        <v>15.15</v>
      </c>
      <c r="G301" t="s">
        <v>217</v>
      </c>
      <c r="H301" t="s">
        <v>216</v>
      </c>
    </row>
    <row r="302" spans="1:8" x14ac:dyDescent="0.3">
      <c r="A302" s="2"/>
      <c r="B302" s="6">
        <v>45900</v>
      </c>
      <c r="C302" s="3" t="s">
        <v>102</v>
      </c>
      <c r="D302" s="3" t="s">
        <v>251</v>
      </c>
      <c r="E302" s="3" t="s">
        <v>252</v>
      </c>
      <c r="F302" s="7">
        <v>90.12</v>
      </c>
      <c r="G302" t="s">
        <v>217</v>
      </c>
      <c r="H302" t="s">
        <v>216</v>
      </c>
    </row>
    <row r="303" spans="1:8" x14ac:dyDescent="0.3">
      <c r="A303" s="2"/>
      <c r="B303" s="6">
        <v>45900</v>
      </c>
      <c r="C303" s="3" t="s">
        <v>105</v>
      </c>
      <c r="D303" s="3" t="s">
        <v>251</v>
      </c>
      <c r="E303" s="3" t="s">
        <v>252</v>
      </c>
      <c r="F303" s="7">
        <v>22.45</v>
      </c>
      <c r="G303" t="s">
        <v>217</v>
      </c>
      <c r="H303" t="s">
        <v>216</v>
      </c>
    </row>
    <row r="304" spans="1:8" x14ac:dyDescent="0.3">
      <c r="A304" s="2"/>
      <c r="B304" s="6">
        <v>45900</v>
      </c>
      <c r="C304" s="3" t="s">
        <v>108</v>
      </c>
      <c r="D304" s="3" t="s">
        <v>251</v>
      </c>
      <c r="E304" s="3" t="s">
        <v>252</v>
      </c>
      <c r="F304" s="7">
        <v>116.1</v>
      </c>
      <c r="G304" t="s">
        <v>217</v>
      </c>
      <c r="H304" t="s">
        <v>216</v>
      </c>
    </row>
    <row r="305" spans="1:8" x14ac:dyDescent="0.3">
      <c r="A305" s="2"/>
      <c r="B305" s="6">
        <v>45900</v>
      </c>
      <c r="C305" s="3" t="s">
        <v>110</v>
      </c>
      <c r="D305" s="3" t="s">
        <v>251</v>
      </c>
      <c r="E305" s="3" t="s">
        <v>252</v>
      </c>
      <c r="F305" s="7">
        <v>-11.95</v>
      </c>
      <c r="G305" t="s">
        <v>217</v>
      </c>
      <c r="H305" t="s">
        <v>216</v>
      </c>
    </row>
    <row r="306" spans="1:8" x14ac:dyDescent="0.3">
      <c r="A306" s="2"/>
      <c r="B306" s="6">
        <v>45900</v>
      </c>
      <c r="C306" s="3" t="s">
        <v>124</v>
      </c>
      <c r="D306" s="3" t="s">
        <v>251</v>
      </c>
      <c r="E306" s="3" t="s">
        <v>252</v>
      </c>
      <c r="F306" s="7">
        <v>540.5</v>
      </c>
      <c r="G306" t="s">
        <v>217</v>
      </c>
      <c r="H306" t="s">
        <v>216</v>
      </c>
    </row>
    <row r="307" spans="1:8" x14ac:dyDescent="0.3">
      <c r="A307" s="2"/>
      <c r="B307" s="6">
        <v>45930</v>
      </c>
      <c r="C307" s="3" t="s">
        <v>551</v>
      </c>
      <c r="D307" s="3" t="s">
        <v>34</v>
      </c>
      <c r="E307" s="3" t="s">
        <v>492</v>
      </c>
      <c r="F307" s="7">
        <v>114659.44</v>
      </c>
      <c r="G307" t="s">
        <v>492</v>
      </c>
      <c r="H307" t="s">
        <v>208</v>
      </c>
    </row>
    <row r="308" spans="1:8" x14ac:dyDescent="0.3">
      <c r="A308" s="2"/>
      <c r="B308" s="6">
        <v>45930</v>
      </c>
      <c r="C308" s="3" t="s">
        <v>560</v>
      </c>
      <c r="D308" s="3" t="s">
        <v>34</v>
      </c>
      <c r="E308" s="3" t="s">
        <v>491</v>
      </c>
      <c r="F308" s="7">
        <v>71743.63</v>
      </c>
      <c r="G308" t="s">
        <v>491</v>
      </c>
      <c r="H308" t="s">
        <v>208</v>
      </c>
    </row>
    <row r="309" spans="1:8" x14ac:dyDescent="0.3">
      <c r="A309" s="2"/>
      <c r="B309" s="6">
        <v>45930</v>
      </c>
      <c r="C309" s="3" t="s">
        <v>561</v>
      </c>
      <c r="D309" s="3" t="s">
        <v>34</v>
      </c>
      <c r="E309" s="3" t="s">
        <v>491</v>
      </c>
      <c r="F309" s="7">
        <v>9185.1299999999992</v>
      </c>
      <c r="G309" t="s">
        <v>491</v>
      </c>
      <c r="H309" t="s">
        <v>208</v>
      </c>
    </row>
    <row r="310" spans="1:8" x14ac:dyDescent="0.3">
      <c r="A310" s="2"/>
      <c r="B310" s="6">
        <v>45930</v>
      </c>
      <c r="C310" s="3" t="s">
        <v>552</v>
      </c>
      <c r="D310" s="3" t="s">
        <v>37</v>
      </c>
      <c r="E310" s="3" t="s">
        <v>492</v>
      </c>
      <c r="F310" s="7">
        <v>6075</v>
      </c>
      <c r="G310" t="s">
        <v>550</v>
      </c>
      <c r="H310" t="s">
        <v>211</v>
      </c>
    </row>
    <row r="311" spans="1:8" x14ac:dyDescent="0.3">
      <c r="A311" s="2"/>
      <c r="B311" s="6">
        <v>45930</v>
      </c>
      <c r="C311" s="3" t="s">
        <v>552</v>
      </c>
      <c r="D311" s="3" t="s">
        <v>37</v>
      </c>
      <c r="E311" s="3" t="s">
        <v>491</v>
      </c>
      <c r="F311" s="7">
        <v>2503</v>
      </c>
      <c r="G311" t="s">
        <v>550</v>
      </c>
      <c r="H311" t="s">
        <v>211</v>
      </c>
    </row>
    <row r="312" spans="1:8" x14ac:dyDescent="0.3">
      <c r="A312" s="2"/>
      <c r="B312" s="6">
        <v>45930</v>
      </c>
      <c r="C312" s="3" t="s">
        <v>39</v>
      </c>
      <c r="D312" s="3" t="s">
        <v>37</v>
      </c>
      <c r="E312" s="3" t="s">
        <v>491</v>
      </c>
      <c r="F312" s="7">
        <v>32204.14</v>
      </c>
      <c r="G312" t="s">
        <v>212</v>
      </c>
      <c r="H312" t="s">
        <v>211</v>
      </c>
    </row>
    <row r="313" spans="1:8" x14ac:dyDescent="0.3">
      <c r="A313" s="2"/>
      <c r="B313" s="6">
        <v>45930</v>
      </c>
      <c r="C313" s="3" t="s">
        <v>39</v>
      </c>
      <c r="D313" s="3" t="s">
        <v>37</v>
      </c>
      <c r="E313" s="3" t="s">
        <v>492</v>
      </c>
      <c r="F313" s="7">
        <v>11078.6</v>
      </c>
      <c r="G313" t="s">
        <v>212</v>
      </c>
      <c r="H313" t="s">
        <v>211</v>
      </c>
    </row>
    <row r="314" spans="1:8" x14ac:dyDescent="0.3">
      <c r="A314" s="2"/>
      <c r="B314" s="6">
        <v>45930</v>
      </c>
      <c r="C314" s="3" t="s">
        <v>543</v>
      </c>
      <c r="D314" s="3" t="s">
        <v>37</v>
      </c>
      <c r="E314" s="3" t="s">
        <v>491</v>
      </c>
      <c r="F314" s="7">
        <v>12227.51</v>
      </c>
      <c r="G314" t="s">
        <v>212</v>
      </c>
      <c r="H314" t="s">
        <v>211</v>
      </c>
    </row>
    <row r="315" spans="1:8" x14ac:dyDescent="0.3">
      <c r="A315" s="2"/>
      <c r="B315" s="6">
        <v>45930</v>
      </c>
      <c r="C315" s="3" t="s">
        <v>543</v>
      </c>
      <c r="D315" s="3" t="s">
        <v>37</v>
      </c>
      <c r="E315" s="3" t="s">
        <v>492</v>
      </c>
      <c r="F315" s="7">
        <v>4206.41</v>
      </c>
      <c r="G315" t="s">
        <v>212</v>
      </c>
      <c r="H315" t="s">
        <v>211</v>
      </c>
    </row>
    <row r="316" spans="1:8" x14ac:dyDescent="0.3">
      <c r="A316" s="2"/>
      <c r="B316" s="6">
        <v>45930</v>
      </c>
      <c r="C316" s="3" t="s">
        <v>45</v>
      </c>
      <c r="D316" s="3" t="s">
        <v>37</v>
      </c>
      <c r="E316" s="3" t="s">
        <v>491</v>
      </c>
      <c r="F316" s="7">
        <v>2377.94</v>
      </c>
      <c r="G316" t="s">
        <v>212</v>
      </c>
      <c r="H316" t="s">
        <v>211</v>
      </c>
    </row>
    <row r="317" spans="1:8" x14ac:dyDescent="0.3">
      <c r="A317" s="2"/>
      <c r="B317" s="6">
        <v>45930</v>
      </c>
      <c r="C317" s="3" t="s">
        <v>45</v>
      </c>
      <c r="D317" s="3" t="s">
        <v>37</v>
      </c>
      <c r="E317" s="3" t="s">
        <v>492</v>
      </c>
      <c r="F317" s="7">
        <v>818.04</v>
      </c>
      <c r="G317" t="s">
        <v>212</v>
      </c>
      <c r="H317" t="s">
        <v>211</v>
      </c>
    </row>
    <row r="318" spans="1:8" x14ac:dyDescent="0.3">
      <c r="A318" s="2"/>
      <c r="B318" s="6">
        <v>45930</v>
      </c>
      <c r="C318" s="3" t="s">
        <v>51</v>
      </c>
      <c r="D318" s="3" t="s">
        <v>251</v>
      </c>
      <c r="E318" s="3" t="s">
        <v>252</v>
      </c>
      <c r="F318" s="7">
        <v>19430.05</v>
      </c>
      <c r="G318" t="s">
        <v>218</v>
      </c>
      <c r="H318" t="s">
        <v>216</v>
      </c>
    </row>
    <row r="319" spans="1:8" x14ac:dyDescent="0.3">
      <c r="A319" s="2"/>
      <c r="B319" s="6">
        <v>45930</v>
      </c>
      <c r="C319" s="3" t="s">
        <v>53</v>
      </c>
      <c r="D319" s="3" t="s">
        <v>251</v>
      </c>
      <c r="E319" s="3" t="s">
        <v>252</v>
      </c>
      <c r="F319" s="7">
        <v>16324.58</v>
      </c>
      <c r="G319" t="s">
        <v>218</v>
      </c>
      <c r="H319" t="s">
        <v>216</v>
      </c>
    </row>
    <row r="320" spans="1:8" x14ac:dyDescent="0.3">
      <c r="A320" s="2"/>
      <c r="B320" s="6">
        <v>45930</v>
      </c>
      <c r="C320" s="3" t="s">
        <v>544</v>
      </c>
      <c r="D320" s="3" t="s">
        <v>251</v>
      </c>
      <c r="E320" s="3" t="s">
        <v>252</v>
      </c>
      <c r="F320" s="7">
        <v>7377.35</v>
      </c>
      <c r="G320" t="s">
        <v>218</v>
      </c>
      <c r="H320" t="s">
        <v>216</v>
      </c>
    </row>
    <row r="321" spans="1:8" x14ac:dyDescent="0.3">
      <c r="A321" s="2"/>
      <c r="B321" s="6">
        <v>45930</v>
      </c>
      <c r="C321" s="3" t="s">
        <v>58</v>
      </c>
      <c r="D321" s="3" t="s">
        <v>251</v>
      </c>
      <c r="E321" s="3" t="s">
        <v>252</v>
      </c>
      <c r="F321" s="7">
        <v>1434.71</v>
      </c>
      <c r="G321" t="s">
        <v>218</v>
      </c>
      <c r="H321" t="s">
        <v>216</v>
      </c>
    </row>
    <row r="322" spans="1:8" x14ac:dyDescent="0.3">
      <c r="A322" s="2"/>
      <c r="B322" s="6">
        <v>45930</v>
      </c>
      <c r="C322" s="3" t="s">
        <v>68</v>
      </c>
      <c r="D322" s="3" t="s">
        <v>251</v>
      </c>
      <c r="E322" s="3" t="s">
        <v>252</v>
      </c>
      <c r="F322" s="7">
        <v>1500</v>
      </c>
      <c r="G322" t="s">
        <v>219</v>
      </c>
      <c r="H322" t="s">
        <v>216</v>
      </c>
    </row>
    <row r="323" spans="1:8" x14ac:dyDescent="0.3">
      <c r="A323" s="2"/>
      <c r="B323" s="6">
        <v>45930</v>
      </c>
      <c r="C323" s="3" t="s">
        <v>70</v>
      </c>
      <c r="D323" s="3" t="s">
        <v>251</v>
      </c>
      <c r="E323" s="3" t="s">
        <v>252</v>
      </c>
      <c r="F323" s="7">
        <v>1562.5</v>
      </c>
      <c r="G323" t="s">
        <v>219</v>
      </c>
      <c r="H323" t="s">
        <v>216</v>
      </c>
    </row>
    <row r="324" spans="1:8" x14ac:dyDescent="0.3">
      <c r="A324" s="2"/>
      <c r="B324" s="6">
        <v>45930</v>
      </c>
      <c r="C324" s="3" t="s">
        <v>71</v>
      </c>
      <c r="D324" s="3" t="s">
        <v>251</v>
      </c>
      <c r="E324" s="3" t="s">
        <v>252</v>
      </c>
      <c r="F324" s="7">
        <v>2036.76</v>
      </c>
      <c r="G324" t="s">
        <v>219</v>
      </c>
      <c r="H324" t="s">
        <v>216</v>
      </c>
    </row>
    <row r="325" spans="1:8" x14ac:dyDescent="0.3">
      <c r="A325" s="2"/>
      <c r="B325" s="6">
        <v>45930</v>
      </c>
      <c r="C325" s="3" t="s">
        <v>75</v>
      </c>
      <c r="D325" s="3" t="s">
        <v>251</v>
      </c>
      <c r="E325" s="3" t="s">
        <v>252</v>
      </c>
      <c r="F325" s="7">
        <v>44.96</v>
      </c>
      <c r="G325" t="s">
        <v>220</v>
      </c>
      <c r="H325" t="s">
        <v>216</v>
      </c>
    </row>
    <row r="326" spans="1:8" x14ac:dyDescent="0.3">
      <c r="A326" s="2"/>
      <c r="B326" s="6">
        <v>45930</v>
      </c>
      <c r="C326" s="3" t="s">
        <v>78</v>
      </c>
      <c r="D326" s="3" t="s">
        <v>251</v>
      </c>
      <c r="E326" s="3" t="s">
        <v>252</v>
      </c>
      <c r="F326" s="7">
        <v>25.33</v>
      </c>
      <c r="G326" t="s">
        <v>220</v>
      </c>
      <c r="H326" t="s">
        <v>216</v>
      </c>
    </row>
    <row r="327" spans="1:8" x14ac:dyDescent="0.3">
      <c r="A327" s="2"/>
      <c r="B327" s="6">
        <v>45930</v>
      </c>
      <c r="C327" s="3" t="s">
        <v>84</v>
      </c>
      <c r="D327" s="3" t="s">
        <v>251</v>
      </c>
      <c r="E327" s="3" t="s">
        <v>491</v>
      </c>
      <c r="F327" s="7">
        <v>1236.3699999999999</v>
      </c>
      <c r="G327" t="s">
        <v>221</v>
      </c>
      <c r="H327" t="s">
        <v>216</v>
      </c>
    </row>
    <row r="328" spans="1:8" x14ac:dyDescent="0.3">
      <c r="A328" s="2"/>
      <c r="B328" s="6">
        <v>45930</v>
      </c>
      <c r="C328" s="3" t="s">
        <v>85</v>
      </c>
      <c r="D328" s="3" t="s">
        <v>251</v>
      </c>
      <c r="E328" s="3" t="s">
        <v>491</v>
      </c>
      <c r="F328" s="7">
        <v>151.63999999999999</v>
      </c>
      <c r="G328" t="s">
        <v>221</v>
      </c>
      <c r="H328" t="s">
        <v>216</v>
      </c>
    </row>
    <row r="329" spans="1:8" x14ac:dyDescent="0.3">
      <c r="A329" s="2"/>
      <c r="B329" s="6">
        <v>45930</v>
      </c>
      <c r="C329" s="3" t="s">
        <v>86</v>
      </c>
      <c r="D329" s="3" t="s">
        <v>251</v>
      </c>
      <c r="E329" s="3" t="s">
        <v>491</v>
      </c>
      <c r="F329" s="7">
        <v>176.24</v>
      </c>
      <c r="G329" t="s">
        <v>221</v>
      </c>
      <c r="H329" t="s">
        <v>216</v>
      </c>
    </row>
    <row r="330" spans="1:8" x14ac:dyDescent="0.3">
      <c r="A330" s="2"/>
      <c r="B330" s="6">
        <v>45930</v>
      </c>
      <c r="C330" s="3" t="s">
        <v>87</v>
      </c>
      <c r="D330" s="3" t="s">
        <v>251</v>
      </c>
      <c r="E330" s="3" t="s">
        <v>491</v>
      </c>
      <c r="F330" s="7">
        <v>121.12</v>
      </c>
      <c r="G330" t="s">
        <v>221</v>
      </c>
      <c r="H330" t="s">
        <v>216</v>
      </c>
    </row>
    <row r="331" spans="1:8" x14ac:dyDescent="0.3">
      <c r="A331" s="2"/>
      <c r="B331" s="6">
        <v>45930</v>
      </c>
      <c r="C331" s="3" t="s">
        <v>92</v>
      </c>
      <c r="D331" s="3" t="s">
        <v>251</v>
      </c>
      <c r="E331" s="3" t="s">
        <v>252</v>
      </c>
      <c r="F331" s="7">
        <v>523.27</v>
      </c>
      <c r="G331" t="s">
        <v>222</v>
      </c>
      <c r="H331" t="s">
        <v>216</v>
      </c>
    </row>
    <row r="332" spans="1:8" x14ac:dyDescent="0.3">
      <c r="A332" s="2"/>
      <c r="B332" s="6">
        <v>45930</v>
      </c>
      <c r="C332" s="3" t="s">
        <v>93</v>
      </c>
      <c r="D332" s="3" t="s">
        <v>251</v>
      </c>
      <c r="E332" s="3" t="s">
        <v>252</v>
      </c>
      <c r="F332" s="7">
        <v>203.97</v>
      </c>
      <c r="G332" t="s">
        <v>222</v>
      </c>
      <c r="H332" t="s">
        <v>216</v>
      </c>
    </row>
    <row r="333" spans="1:8" x14ac:dyDescent="0.3">
      <c r="A333" s="2"/>
      <c r="B333" s="6">
        <v>45930</v>
      </c>
      <c r="C333" s="3" t="s">
        <v>94</v>
      </c>
      <c r="D333" s="3" t="s">
        <v>251</v>
      </c>
      <c r="E333" s="3" t="s">
        <v>252</v>
      </c>
      <c r="F333" s="7">
        <v>83.55</v>
      </c>
      <c r="G333" t="s">
        <v>222</v>
      </c>
      <c r="H333" t="s">
        <v>216</v>
      </c>
    </row>
    <row r="334" spans="1:8" x14ac:dyDescent="0.3">
      <c r="A334" s="2"/>
      <c r="B334" s="6">
        <v>45930</v>
      </c>
      <c r="C334" s="3" t="s">
        <v>95</v>
      </c>
      <c r="D334" s="3" t="s">
        <v>251</v>
      </c>
      <c r="E334" s="3" t="s">
        <v>252</v>
      </c>
      <c r="F334" s="7">
        <v>675</v>
      </c>
      <c r="G334" t="s">
        <v>222</v>
      </c>
      <c r="H334" t="s">
        <v>216</v>
      </c>
    </row>
    <row r="335" spans="1:8" x14ac:dyDescent="0.3">
      <c r="A335" s="2"/>
      <c r="B335" s="6">
        <v>45930</v>
      </c>
      <c r="C335" s="3" t="s">
        <v>96</v>
      </c>
      <c r="D335" s="3" t="s">
        <v>251</v>
      </c>
      <c r="E335" s="3" t="s">
        <v>252</v>
      </c>
      <c r="F335" s="7">
        <v>45.28</v>
      </c>
      <c r="G335" t="s">
        <v>222</v>
      </c>
      <c r="H335" t="s">
        <v>216</v>
      </c>
    </row>
    <row r="336" spans="1:8" x14ac:dyDescent="0.3">
      <c r="A336" s="2"/>
      <c r="B336" s="6">
        <v>45930</v>
      </c>
      <c r="C336" s="3" t="s">
        <v>99</v>
      </c>
      <c r="D336" s="3" t="s">
        <v>251</v>
      </c>
      <c r="E336" s="3" t="s">
        <v>491</v>
      </c>
      <c r="F336" s="7">
        <v>356.77</v>
      </c>
      <c r="G336" t="s">
        <v>126</v>
      </c>
      <c r="H336" t="s">
        <v>216</v>
      </c>
    </row>
    <row r="337" spans="1:8" x14ac:dyDescent="0.3">
      <c r="A337" s="2"/>
      <c r="B337" s="6">
        <v>45930</v>
      </c>
      <c r="C337" s="3" t="s">
        <v>99</v>
      </c>
      <c r="D337" s="3" t="s">
        <v>251</v>
      </c>
      <c r="E337" s="3" t="s">
        <v>252</v>
      </c>
      <c r="F337" s="7">
        <v>-160.02000000000001</v>
      </c>
      <c r="G337" t="s">
        <v>126</v>
      </c>
      <c r="H337" t="s">
        <v>216</v>
      </c>
    </row>
    <row r="338" spans="1:8" x14ac:dyDescent="0.3">
      <c r="A338" s="2"/>
      <c r="B338" s="6">
        <v>45930</v>
      </c>
      <c r="C338" s="3" t="s">
        <v>101</v>
      </c>
      <c r="D338" s="3" t="s">
        <v>251</v>
      </c>
      <c r="E338" s="3" t="s">
        <v>252</v>
      </c>
      <c r="F338" s="7">
        <v>10.6</v>
      </c>
      <c r="G338" t="s">
        <v>217</v>
      </c>
      <c r="H338" t="s">
        <v>216</v>
      </c>
    </row>
    <row r="339" spans="1:8" x14ac:dyDescent="0.3">
      <c r="A339" s="2"/>
      <c r="B339" s="6">
        <v>45930</v>
      </c>
      <c r="C339" s="3" t="s">
        <v>102</v>
      </c>
      <c r="D339" s="3" t="s">
        <v>251</v>
      </c>
      <c r="E339" s="3" t="s">
        <v>252</v>
      </c>
      <c r="F339" s="7">
        <v>540</v>
      </c>
      <c r="G339" t="s">
        <v>217</v>
      </c>
      <c r="H339" t="s">
        <v>216</v>
      </c>
    </row>
    <row r="340" spans="1:8" x14ac:dyDescent="0.3">
      <c r="A340" s="2"/>
      <c r="B340" s="6">
        <v>45930</v>
      </c>
      <c r="C340" s="3" t="s">
        <v>105</v>
      </c>
      <c r="D340" s="3" t="s">
        <v>251</v>
      </c>
      <c r="E340" s="3" t="s">
        <v>252</v>
      </c>
      <c r="F340" s="7">
        <v>492.62</v>
      </c>
      <c r="G340" t="s">
        <v>217</v>
      </c>
      <c r="H340" t="s">
        <v>216</v>
      </c>
    </row>
    <row r="341" spans="1:8" x14ac:dyDescent="0.3">
      <c r="A341" s="2"/>
      <c r="B341" s="6">
        <v>45930</v>
      </c>
      <c r="C341" s="3" t="s">
        <v>110</v>
      </c>
      <c r="D341" s="3" t="s">
        <v>251</v>
      </c>
      <c r="E341" s="3" t="s">
        <v>252</v>
      </c>
      <c r="F341" s="7">
        <v>13.05</v>
      </c>
      <c r="G341" t="s">
        <v>217</v>
      </c>
      <c r="H341" t="s">
        <v>216</v>
      </c>
    </row>
    <row r="342" spans="1:8" x14ac:dyDescent="0.3">
      <c r="A342" s="2"/>
      <c r="B342" s="6">
        <v>45930</v>
      </c>
      <c r="C342" s="3" t="s">
        <v>114</v>
      </c>
      <c r="D342" s="3" t="s">
        <v>251</v>
      </c>
      <c r="E342" s="3" t="s">
        <v>252</v>
      </c>
      <c r="F342" s="7">
        <v>755.75</v>
      </c>
      <c r="G342" t="s">
        <v>223</v>
      </c>
      <c r="H342" t="s">
        <v>216</v>
      </c>
    </row>
    <row r="343" spans="1:8" x14ac:dyDescent="0.3">
      <c r="A343" s="2"/>
      <c r="B343" s="6">
        <v>45961</v>
      </c>
      <c r="C343" s="3" t="s">
        <v>551</v>
      </c>
      <c r="D343" s="3" t="s">
        <v>34</v>
      </c>
      <c r="E343" s="3" t="s">
        <v>492</v>
      </c>
      <c r="F343" s="7">
        <v>127818.39</v>
      </c>
      <c r="G343" t="s">
        <v>492</v>
      </c>
      <c r="H343" t="s">
        <v>208</v>
      </c>
    </row>
    <row r="344" spans="1:8" x14ac:dyDescent="0.3">
      <c r="A344" s="2"/>
      <c r="B344" s="6">
        <v>45961</v>
      </c>
      <c r="C344" s="3" t="s">
        <v>560</v>
      </c>
      <c r="D344" s="3" t="s">
        <v>34</v>
      </c>
      <c r="E344" s="3" t="s">
        <v>491</v>
      </c>
      <c r="F344" s="7">
        <v>33764.379999999997</v>
      </c>
      <c r="G344" t="s">
        <v>491</v>
      </c>
      <c r="H344" t="s">
        <v>208</v>
      </c>
    </row>
    <row r="345" spans="1:8" x14ac:dyDescent="0.3">
      <c r="A345" s="2"/>
      <c r="B345" s="6">
        <v>45961</v>
      </c>
      <c r="C345" s="3" t="s">
        <v>561</v>
      </c>
      <c r="D345" s="3" t="s">
        <v>34</v>
      </c>
      <c r="E345" s="3" t="s">
        <v>491</v>
      </c>
      <c r="F345" s="7">
        <v>4419</v>
      </c>
      <c r="G345" t="s">
        <v>491</v>
      </c>
      <c r="H345" t="s">
        <v>208</v>
      </c>
    </row>
    <row r="346" spans="1:8" x14ac:dyDescent="0.3">
      <c r="A346" s="2"/>
      <c r="B346" s="6">
        <v>45961</v>
      </c>
      <c r="C346" s="3" t="s">
        <v>552</v>
      </c>
      <c r="D346" s="3" t="s">
        <v>37</v>
      </c>
      <c r="E346" s="3" t="s">
        <v>491</v>
      </c>
      <c r="F346" s="7">
        <v>35403.35</v>
      </c>
      <c r="G346" t="s">
        <v>550</v>
      </c>
      <c r="H346" t="s">
        <v>211</v>
      </c>
    </row>
    <row r="347" spans="1:8" x14ac:dyDescent="0.3">
      <c r="A347" s="2"/>
      <c r="B347" s="6">
        <v>45961</v>
      </c>
      <c r="C347" s="3" t="s">
        <v>552</v>
      </c>
      <c r="D347" s="3" t="s">
        <v>37</v>
      </c>
      <c r="E347" s="3" t="s">
        <v>492</v>
      </c>
      <c r="F347" s="7">
        <v>11413</v>
      </c>
      <c r="G347" t="s">
        <v>550</v>
      </c>
      <c r="H347" t="s">
        <v>211</v>
      </c>
    </row>
    <row r="348" spans="1:8" x14ac:dyDescent="0.3">
      <c r="A348" s="2"/>
      <c r="B348" s="6">
        <v>45961</v>
      </c>
      <c r="C348" s="3" t="s">
        <v>39</v>
      </c>
      <c r="D348" s="3" t="s">
        <v>37</v>
      </c>
      <c r="E348" s="3" t="s">
        <v>492</v>
      </c>
      <c r="F348" s="7">
        <v>11152.47</v>
      </c>
      <c r="G348" t="s">
        <v>212</v>
      </c>
      <c r="H348" t="s">
        <v>211</v>
      </c>
    </row>
    <row r="349" spans="1:8" x14ac:dyDescent="0.3">
      <c r="A349" s="2"/>
      <c r="B349" s="6">
        <v>45961</v>
      </c>
      <c r="C349" s="3" t="s">
        <v>39</v>
      </c>
      <c r="D349" s="3" t="s">
        <v>37</v>
      </c>
      <c r="E349" s="3" t="s">
        <v>491</v>
      </c>
      <c r="F349" s="7">
        <v>32418.880000000001</v>
      </c>
      <c r="G349" t="s">
        <v>212</v>
      </c>
      <c r="H349" t="s">
        <v>211</v>
      </c>
    </row>
    <row r="350" spans="1:8" x14ac:dyDescent="0.3">
      <c r="A350" s="2"/>
      <c r="B350" s="6">
        <v>45961</v>
      </c>
      <c r="C350" s="3" t="s">
        <v>543</v>
      </c>
      <c r="D350" s="3" t="s">
        <v>37</v>
      </c>
      <c r="E350" s="3" t="s">
        <v>492</v>
      </c>
      <c r="F350" s="7">
        <v>2296.2199999999998</v>
      </c>
      <c r="G350" t="s">
        <v>212</v>
      </c>
      <c r="H350" t="s">
        <v>211</v>
      </c>
    </row>
    <row r="351" spans="1:8" x14ac:dyDescent="0.3">
      <c r="A351" s="2"/>
      <c r="B351" s="6">
        <v>45961</v>
      </c>
      <c r="C351" s="3" t="s">
        <v>543</v>
      </c>
      <c r="D351" s="3" t="s">
        <v>37</v>
      </c>
      <c r="E351" s="3" t="s">
        <v>491</v>
      </c>
      <c r="F351" s="7">
        <v>6674.84</v>
      </c>
      <c r="G351" t="s">
        <v>212</v>
      </c>
      <c r="H351" t="s">
        <v>211</v>
      </c>
    </row>
    <row r="352" spans="1:8" x14ac:dyDescent="0.3">
      <c r="A352" s="2"/>
      <c r="B352" s="6">
        <v>45961</v>
      </c>
      <c r="C352" s="3" t="s">
        <v>42</v>
      </c>
      <c r="D352" s="3" t="s">
        <v>37</v>
      </c>
      <c r="E352" s="3" t="s">
        <v>492</v>
      </c>
      <c r="F352" s="7">
        <v>241.18</v>
      </c>
      <c r="G352" t="s">
        <v>212</v>
      </c>
      <c r="H352" t="s">
        <v>211</v>
      </c>
    </row>
    <row r="353" spans="1:8" x14ac:dyDescent="0.3">
      <c r="A353" s="2"/>
      <c r="B353" s="6">
        <v>45961</v>
      </c>
      <c r="C353" s="3" t="s">
        <v>42</v>
      </c>
      <c r="D353" s="3" t="s">
        <v>37</v>
      </c>
      <c r="E353" s="3" t="s">
        <v>491</v>
      </c>
      <c r="F353" s="7">
        <v>701.09</v>
      </c>
      <c r="G353" t="s">
        <v>212</v>
      </c>
      <c r="H353" t="s">
        <v>211</v>
      </c>
    </row>
    <row r="354" spans="1:8" x14ac:dyDescent="0.3">
      <c r="A354" s="2"/>
      <c r="B354" s="6">
        <v>45961</v>
      </c>
      <c r="C354" s="3" t="s">
        <v>45</v>
      </c>
      <c r="D354" s="3" t="s">
        <v>37</v>
      </c>
      <c r="E354" s="3" t="s">
        <v>491</v>
      </c>
      <c r="F354" s="7">
        <v>1255.6300000000001</v>
      </c>
      <c r="G354" t="s">
        <v>212</v>
      </c>
      <c r="H354" t="s">
        <v>211</v>
      </c>
    </row>
    <row r="355" spans="1:8" x14ac:dyDescent="0.3">
      <c r="A355" s="2"/>
      <c r="B355" s="6">
        <v>45961</v>
      </c>
      <c r="C355" s="3" t="s">
        <v>45</v>
      </c>
      <c r="D355" s="3" t="s">
        <v>37</v>
      </c>
      <c r="E355" s="3" t="s">
        <v>492</v>
      </c>
      <c r="F355" s="7">
        <v>431.95</v>
      </c>
      <c r="G355" t="s">
        <v>212</v>
      </c>
      <c r="H355" t="s">
        <v>211</v>
      </c>
    </row>
    <row r="356" spans="1:8" x14ac:dyDescent="0.3">
      <c r="A356" s="2"/>
      <c r="B356" s="6">
        <v>45961</v>
      </c>
      <c r="C356" s="3" t="s">
        <v>51</v>
      </c>
      <c r="D356" s="3" t="s">
        <v>251</v>
      </c>
      <c r="E356" s="3" t="s">
        <v>252</v>
      </c>
      <c r="F356" s="7">
        <v>19559.61</v>
      </c>
      <c r="G356" t="s">
        <v>218</v>
      </c>
      <c r="H356" t="s">
        <v>216</v>
      </c>
    </row>
    <row r="357" spans="1:8" x14ac:dyDescent="0.3">
      <c r="A357" s="2"/>
      <c r="B357" s="6">
        <v>45961</v>
      </c>
      <c r="C357" s="3" t="s">
        <v>53</v>
      </c>
      <c r="D357" s="3" t="s">
        <v>251</v>
      </c>
      <c r="E357" s="3" t="s">
        <v>252</v>
      </c>
      <c r="F357" s="7">
        <v>16324.58</v>
      </c>
      <c r="G357" t="s">
        <v>218</v>
      </c>
      <c r="H357" t="s">
        <v>216</v>
      </c>
    </row>
    <row r="358" spans="1:8" x14ac:dyDescent="0.3">
      <c r="A358" s="2"/>
      <c r="B358" s="6">
        <v>45961</v>
      </c>
      <c r="C358" s="3" t="s">
        <v>544</v>
      </c>
      <c r="D358" s="3" t="s">
        <v>251</v>
      </c>
      <c r="E358" s="3" t="s">
        <v>252</v>
      </c>
      <c r="F358" s="7">
        <v>4027.2</v>
      </c>
      <c r="G358" t="s">
        <v>218</v>
      </c>
      <c r="H358" t="s">
        <v>216</v>
      </c>
    </row>
    <row r="359" spans="1:8" x14ac:dyDescent="0.3">
      <c r="A359" s="2"/>
      <c r="B359" s="6">
        <v>45961</v>
      </c>
      <c r="C359" s="3" t="s">
        <v>55</v>
      </c>
      <c r="D359" s="3" t="s">
        <v>251</v>
      </c>
      <c r="E359" s="3" t="s">
        <v>252</v>
      </c>
      <c r="F359" s="7">
        <v>422.99</v>
      </c>
      <c r="G359" t="s">
        <v>218</v>
      </c>
      <c r="H359" t="s">
        <v>216</v>
      </c>
    </row>
    <row r="360" spans="1:8" x14ac:dyDescent="0.3">
      <c r="A360" s="2"/>
      <c r="B360" s="6">
        <v>45961</v>
      </c>
      <c r="C360" s="3" t="s">
        <v>58</v>
      </c>
      <c r="D360" s="3" t="s">
        <v>251</v>
      </c>
      <c r="E360" s="3" t="s">
        <v>252</v>
      </c>
      <c r="F360" s="7">
        <v>757.57</v>
      </c>
      <c r="G360" t="s">
        <v>218</v>
      </c>
      <c r="H360" t="s">
        <v>216</v>
      </c>
    </row>
    <row r="361" spans="1:8" x14ac:dyDescent="0.3">
      <c r="A361" s="2"/>
      <c r="B361" s="6">
        <v>45961</v>
      </c>
      <c r="C361" s="3" t="s">
        <v>62</v>
      </c>
      <c r="D361" s="3" t="s">
        <v>251</v>
      </c>
      <c r="E361" s="3" t="s">
        <v>252</v>
      </c>
      <c r="F361" s="7">
        <v>304.83999999999997</v>
      </c>
      <c r="G361" t="s">
        <v>217</v>
      </c>
      <c r="H361" t="s">
        <v>216</v>
      </c>
    </row>
    <row r="362" spans="1:8" x14ac:dyDescent="0.3">
      <c r="A362" s="2"/>
      <c r="B362" s="6">
        <v>45961</v>
      </c>
      <c r="C362" s="3" t="s">
        <v>68</v>
      </c>
      <c r="D362" s="3" t="s">
        <v>251</v>
      </c>
      <c r="E362" s="3" t="s">
        <v>252</v>
      </c>
      <c r="F362" s="7">
        <v>2020</v>
      </c>
      <c r="G362" t="s">
        <v>219</v>
      </c>
      <c r="H362" t="s">
        <v>216</v>
      </c>
    </row>
    <row r="363" spans="1:8" x14ac:dyDescent="0.3">
      <c r="A363" s="2"/>
      <c r="B363" s="6">
        <v>45961</v>
      </c>
      <c r="C363" s="3" t="s">
        <v>70</v>
      </c>
      <c r="D363" s="3" t="s">
        <v>251</v>
      </c>
      <c r="E363" s="3" t="s">
        <v>252</v>
      </c>
      <c r="F363" s="7">
        <v>1125</v>
      </c>
      <c r="G363" t="s">
        <v>219</v>
      </c>
      <c r="H363" t="s">
        <v>216</v>
      </c>
    </row>
    <row r="364" spans="1:8" x14ac:dyDescent="0.3">
      <c r="A364" s="2"/>
      <c r="B364" s="6">
        <v>45961</v>
      </c>
      <c r="C364" s="3" t="s">
        <v>71</v>
      </c>
      <c r="D364" s="3" t="s">
        <v>251</v>
      </c>
      <c r="E364" s="3" t="s">
        <v>252</v>
      </c>
      <c r="F364" s="7">
        <v>2036.76</v>
      </c>
      <c r="G364" t="s">
        <v>219</v>
      </c>
      <c r="H364" t="s">
        <v>216</v>
      </c>
    </row>
    <row r="365" spans="1:8" x14ac:dyDescent="0.3">
      <c r="A365" s="2"/>
      <c r="B365" s="6">
        <v>45961</v>
      </c>
      <c r="C365" s="3" t="s">
        <v>72</v>
      </c>
      <c r="D365" s="3" t="s">
        <v>251</v>
      </c>
      <c r="E365" s="3" t="s">
        <v>252</v>
      </c>
      <c r="F365" s="7">
        <v>1600</v>
      </c>
      <c r="G365" t="s">
        <v>219</v>
      </c>
      <c r="H365" t="s">
        <v>216</v>
      </c>
    </row>
    <row r="366" spans="1:8" x14ac:dyDescent="0.3">
      <c r="A366" s="2"/>
      <c r="B366" s="6">
        <v>45961</v>
      </c>
      <c r="C366" s="3" t="s">
        <v>75</v>
      </c>
      <c r="D366" s="3" t="s">
        <v>251</v>
      </c>
      <c r="E366" s="3" t="s">
        <v>252</v>
      </c>
      <c r="F366" s="7">
        <v>59.95</v>
      </c>
      <c r="G366" t="s">
        <v>220</v>
      </c>
      <c r="H366" t="s">
        <v>216</v>
      </c>
    </row>
    <row r="367" spans="1:8" x14ac:dyDescent="0.3">
      <c r="A367" s="2"/>
      <c r="B367" s="6">
        <v>45961</v>
      </c>
      <c r="C367" s="3" t="s">
        <v>76</v>
      </c>
      <c r="D367" s="3" t="s">
        <v>251</v>
      </c>
      <c r="E367" s="3" t="s">
        <v>252</v>
      </c>
      <c r="F367" s="7">
        <v>5319.74</v>
      </c>
      <c r="G367" t="s">
        <v>220</v>
      </c>
      <c r="H367" t="s">
        <v>216</v>
      </c>
    </row>
    <row r="368" spans="1:8" x14ac:dyDescent="0.3">
      <c r="A368" s="2"/>
      <c r="B368" s="6">
        <v>45961</v>
      </c>
      <c r="C368" s="3" t="s">
        <v>79</v>
      </c>
      <c r="D368" s="3" t="s">
        <v>251</v>
      </c>
      <c r="E368" s="3" t="s">
        <v>252</v>
      </c>
      <c r="F368" s="7">
        <v>427.58</v>
      </c>
      <c r="G368" t="s">
        <v>220</v>
      </c>
      <c r="H368" t="s">
        <v>216</v>
      </c>
    </row>
    <row r="369" spans="1:8" x14ac:dyDescent="0.3">
      <c r="A369" s="2"/>
      <c r="B369" s="6">
        <v>45961</v>
      </c>
      <c r="C369" s="3" t="s">
        <v>80</v>
      </c>
      <c r="D369" s="3" t="s">
        <v>251</v>
      </c>
      <c r="E369" s="3" t="s">
        <v>252</v>
      </c>
      <c r="F369" s="7">
        <v>328.94</v>
      </c>
      <c r="G369" t="s">
        <v>220</v>
      </c>
      <c r="H369" t="s">
        <v>216</v>
      </c>
    </row>
    <row r="370" spans="1:8" x14ac:dyDescent="0.3">
      <c r="A370" s="2"/>
      <c r="B370" s="6">
        <v>45961</v>
      </c>
      <c r="C370" s="3" t="s">
        <v>81</v>
      </c>
      <c r="D370" s="3" t="s">
        <v>251</v>
      </c>
      <c r="E370" s="3" t="s">
        <v>252</v>
      </c>
      <c r="F370" s="7">
        <v>330.31</v>
      </c>
      <c r="G370" t="s">
        <v>220</v>
      </c>
      <c r="H370" t="s">
        <v>216</v>
      </c>
    </row>
    <row r="371" spans="1:8" x14ac:dyDescent="0.3">
      <c r="A371" s="2"/>
      <c r="B371" s="6">
        <v>45961</v>
      </c>
      <c r="C371" s="3" t="s">
        <v>84</v>
      </c>
      <c r="D371" s="3" t="s">
        <v>251</v>
      </c>
      <c r="E371" s="3" t="s">
        <v>491</v>
      </c>
      <c r="F371" s="7">
        <v>774.97</v>
      </c>
      <c r="G371" t="s">
        <v>221</v>
      </c>
      <c r="H371" t="s">
        <v>216</v>
      </c>
    </row>
    <row r="372" spans="1:8" x14ac:dyDescent="0.3">
      <c r="A372" s="2"/>
      <c r="B372" s="6">
        <v>45961</v>
      </c>
      <c r="C372" s="3" t="s">
        <v>85</v>
      </c>
      <c r="D372" s="3" t="s">
        <v>251</v>
      </c>
      <c r="E372" s="3" t="s">
        <v>491</v>
      </c>
      <c r="F372" s="7">
        <v>405.5</v>
      </c>
      <c r="G372" t="s">
        <v>221</v>
      </c>
      <c r="H372" t="s">
        <v>216</v>
      </c>
    </row>
    <row r="373" spans="1:8" x14ac:dyDescent="0.3">
      <c r="A373" s="2"/>
      <c r="B373" s="6">
        <v>45961</v>
      </c>
      <c r="C373" s="3" t="s">
        <v>86</v>
      </c>
      <c r="D373" s="3" t="s">
        <v>251</v>
      </c>
      <c r="E373" s="3" t="s">
        <v>491</v>
      </c>
      <c r="F373" s="7">
        <v>725.18</v>
      </c>
      <c r="G373" t="s">
        <v>221</v>
      </c>
      <c r="H373" t="s">
        <v>216</v>
      </c>
    </row>
    <row r="374" spans="1:8" x14ac:dyDescent="0.3">
      <c r="A374" s="2"/>
      <c r="B374" s="6">
        <v>45961</v>
      </c>
      <c r="C374" s="3" t="s">
        <v>87</v>
      </c>
      <c r="D374" s="3" t="s">
        <v>251</v>
      </c>
      <c r="E374" s="3" t="s">
        <v>491</v>
      </c>
      <c r="F374" s="7">
        <v>62.33</v>
      </c>
      <c r="G374" t="s">
        <v>221</v>
      </c>
      <c r="H374" t="s">
        <v>216</v>
      </c>
    </row>
    <row r="375" spans="1:8" x14ac:dyDescent="0.3">
      <c r="A375" s="2"/>
      <c r="B375" s="6">
        <v>45961</v>
      </c>
      <c r="C375" s="3" t="s">
        <v>88</v>
      </c>
      <c r="D375" s="3" t="s">
        <v>251</v>
      </c>
      <c r="E375" s="3" t="s">
        <v>491</v>
      </c>
      <c r="F375" s="7">
        <v>335.83</v>
      </c>
      <c r="G375" t="s">
        <v>221</v>
      </c>
      <c r="H375" t="s">
        <v>216</v>
      </c>
    </row>
    <row r="376" spans="1:8" x14ac:dyDescent="0.3">
      <c r="A376" s="2"/>
      <c r="B376" s="6">
        <v>45961</v>
      </c>
      <c r="C376" s="3" t="s">
        <v>92</v>
      </c>
      <c r="D376" s="3" t="s">
        <v>251</v>
      </c>
      <c r="E376" s="3" t="s">
        <v>252</v>
      </c>
      <c r="F376" s="7">
        <v>569.48</v>
      </c>
      <c r="G376" t="s">
        <v>222</v>
      </c>
      <c r="H376" t="s">
        <v>216</v>
      </c>
    </row>
    <row r="377" spans="1:8" x14ac:dyDescent="0.3">
      <c r="A377" s="2"/>
      <c r="B377" s="6">
        <v>45961</v>
      </c>
      <c r="C377" s="3" t="s">
        <v>93</v>
      </c>
      <c r="D377" s="3" t="s">
        <v>251</v>
      </c>
      <c r="E377" s="3" t="s">
        <v>252</v>
      </c>
      <c r="F377" s="7">
        <v>395.71</v>
      </c>
      <c r="G377" t="s">
        <v>222</v>
      </c>
      <c r="H377" t="s">
        <v>216</v>
      </c>
    </row>
    <row r="378" spans="1:8" x14ac:dyDescent="0.3">
      <c r="A378" s="2"/>
      <c r="B378" s="6">
        <v>45961</v>
      </c>
      <c r="C378" s="3" t="s">
        <v>94</v>
      </c>
      <c r="D378" s="3" t="s">
        <v>251</v>
      </c>
      <c r="E378" s="3" t="s">
        <v>252</v>
      </c>
      <c r="F378" s="7">
        <v>70.75</v>
      </c>
      <c r="G378" t="s">
        <v>222</v>
      </c>
      <c r="H378" t="s">
        <v>216</v>
      </c>
    </row>
    <row r="379" spans="1:8" x14ac:dyDescent="0.3">
      <c r="A379" s="2"/>
      <c r="B379" s="6">
        <v>45961</v>
      </c>
      <c r="C379" s="3" t="s">
        <v>99</v>
      </c>
      <c r="D379" s="3" t="s">
        <v>251</v>
      </c>
      <c r="E379" s="3" t="s">
        <v>252</v>
      </c>
      <c r="F379" s="7">
        <v>1390.07</v>
      </c>
      <c r="G379" t="s">
        <v>126</v>
      </c>
      <c r="H379" t="s">
        <v>216</v>
      </c>
    </row>
    <row r="380" spans="1:8" x14ac:dyDescent="0.3">
      <c r="A380" s="2"/>
      <c r="B380" s="6">
        <v>45961</v>
      </c>
      <c r="C380" s="3" t="s">
        <v>101</v>
      </c>
      <c r="D380" s="3" t="s">
        <v>251</v>
      </c>
      <c r="E380" s="3" t="s">
        <v>252</v>
      </c>
      <c r="F380" s="7">
        <v>40</v>
      </c>
      <c r="G380" t="s">
        <v>217</v>
      </c>
      <c r="H380" t="s">
        <v>216</v>
      </c>
    </row>
    <row r="381" spans="1:8" x14ac:dyDescent="0.3">
      <c r="A381" s="2"/>
      <c r="B381" s="6">
        <v>45961</v>
      </c>
      <c r="C381" s="3" t="s">
        <v>102</v>
      </c>
      <c r="D381" s="3" t="s">
        <v>251</v>
      </c>
      <c r="E381" s="3" t="s">
        <v>252</v>
      </c>
      <c r="F381" s="7">
        <v>495</v>
      </c>
      <c r="G381" t="s">
        <v>217</v>
      </c>
      <c r="H381" t="s">
        <v>216</v>
      </c>
    </row>
    <row r="382" spans="1:8" x14ac:dyDescent="0.3">
      <c r="A382" s="2"/>
      <c r="B382" s="6">
        <v>45961</v>
      </c>
      <c r="C382" s="3" t="s">
        <v>104</v>
      </c>
      <c r="D382" s="3" t="s">
        <v>251</v>
      </c>
      <c r="E382" s="3" t="s">
        <v>252</v>
      </c>
      <c r="F382" s="7">
        <v>1281.79</v>
      </c>
      <c r="G382" t="s">
        <v>217</v>
      </c>
      <c r="H382" t="s">
        <v>216</v>
      </c>
    </row>
    <row r="383" spans="1:8" x14ac:dyDescent="0.3">
      <c r="A383" s="2"/>
      <c r="B383" s="6">
        <v>45961</v>
      </c>
      <c r="C383" s="3" t="s">
        <v>106</v>
      </c>
      <c r="D383" s="3" t="s">
        <v>251</v>
      </c>
      <c r="E383" s="3" t="s">
        <v>252</v>
      </c>
      <c r="F383" s="7">
        <v>49.6</v>
      </c>
      <c r="G383" t="s">
        <v>217</v>
      </c>
      <c r="H383" t="s">
        <v>216</v>
      </c>
    </row>
    <row r="384" spans="1:8" x14ac:dyDescent="0.3">
      <c r="A384" s="2"/>
      <c r="B384" s="6">
        <v>45961</v>
      </c>
      <c r="C384" s="3" t="s">
        <v>110</v>
      </c>
      <c r="D384" s="3" t="s">
        <v>251</v>
      </c>
      <c r="E384" s="3" t="s">
        <v>252</v>
      </c>
      <c r="F384" s="7">
        <v>29.3</v>
      </c>
      <c r="G384" t="s">
        <v>217</v>
      </c>
      <c r="H384" t="s">
        <v>216</v>
      </c>
    </row>
    <row r="385" spans="1:8" x14ac:dyDescent="0.3">
      <c r="A385" s="2"/>
      <c r="B385" s="6">
        <v>45961</v>
      </c>
      <c r="C385" s="3" t="s">
        <v>113</v>
      </c>
      <c r="D385" s="3" t="s">
        <v>251</v>
      </c>
      <c r="E385" s="3" t="s">
        <v>252</v>
      </c>
      <c r="F385" s="7">
        <v>3988.23</v>
      </c>
      <c r="G385" t="s">
        <v>223</v>
      </c>
      <c r="H385" t="s">
        <v>216</v>
      </c>
    </row>
    <row r="386" spans="1:8" x14ac:dyDescent="0.3">
      <c r="A386" s="2"/>
      <c r="B386" s="6">
        <v>45961</v>
      </c>
      <c r="C386" s="3" t="s">
        <v>114</v>
      </c>
      <c r="D386" s="3" t="s">
        <v>251</v>
      </c>
      <c r="E386" s="3" t="s">
        <v>252</v>
      </c>
      <c r="F386" s="7">
        <v>755.75</v>
      </c>
      <c r="G386" t="s">
        <v>223</v>
      </c>
      <c r="H386" t="s">
        <v>216</v>
      </c>
    </row>
    <row r="387" spans="1:8" x14ac:dyDescent="0.3">
      <c r="A387" s="2"/>
      <c r="B387" s="6">
        <v>45991</v>
      </c>
      <c r="C387" s="3" t="s">
        <v>551</v>
      </c>
      <c r="D387" s="3" t="s">
        <v>34</v>
      </c>
      <c r="E387" s="3" t="s">
        <v>492</v>
      </c>
      <c r="F387" s="7">
        <v>184380.29</v>
      </c>
      <c r="G387" t="s">
        <v>492</v>
      </c>
      <c r="H387" t="s">
        <v>208</v>
      </c>
    </row>
    <row r="388" spans="1:8" x14ac:dyDescent="0.3">
      <c r="A388" s="2"/>
      <c r="B388" s="6">
        <v>45991</v>
      </c>
      <c r="C388" s="3" t="s">
        <v>560</v>
      </c>
      <c r="D388" s="3" t="s">
        <v>34</v>
      </c>
      <c r="E388" s="3" t="s">
        <v>491</v>
      </c>
      <c r="F388" s="7">
        <v>46341.25</v>
      </c>
      <c r="G388" t="s">
        <v>491</v>
      </c>
      <c r="H388" t="s">
        <v>208</v>
      </c>
    </row>
    <row r="389" spans="1:8" x14ac:dyDescent="0.3">
      <c r="A389" s="2"/>
      <c r="B389" s="6">
        <v>45991</v>
      </c>
      <c r="C389" s="3" t="s">
        <v>561</v>
      </c>
      <c r="D389" s="3" t="s">
        <v>34</v>
      </c>
      <c r="E389" s="3" t="s">
        <v>491</v>
      </c>
      <c r="F389" s="7">
        <v>14104.8</v>
      </c>
      <c r="G389" t="s">
        <v>491</v>
      </c>
      <c r="H389" t="s">
        <v>208</v>
      </c>
    </row>
    <row r="390" spans="1:8" x14ac:dyDescent="0.3">
      <c r="A390" s="2"/>
      <c r="B390" s="6">
        <v>45991</v>
      </c>
      <c r="C390" s="3" t="s">
        <v>552</v>
      </c>
      <c r="D390" s="3" t="s">
        <v>37</v>
      </c>
      <c r="E390" s="3" t="s">
        <v>492</v>
      </c>
      <c r="F390" s="7">
        <v>7469</v>
      </c>
      <c r="G390" t="s">
        <v>550</v>
      </c>
      <c r="H390" t="s">
        <v>211</v>
      </c>
    </row>
    <row r="391" spans="1:8" x14ac:dyDescent="0.3">
      <c r="A391" s="2"/>
      <c r="B391" s="6">
        <v>45991</v>
      </c>
      <c r="C391" s="3" t="s">
        <v>552</v>
      </c>
      <c r="D391" s="3" t="s">
        <v>37</v>
      </c>
      <c r="E391" s="3" t="s">
        <v>491</v>
      </c>
      <c r="F391" s="7">
        <v>6900</v>
      </c>
      <c r="G391" t="s">
        <v>550</v>
      </c>
      <c r="H391" t="s">
        <v>211</v>
      </c>
    </row>
    <row r="392" spans="1:8" x14ac:dyDescent="0.3">
      <c r="A392" s="2"/>
      <c r="B392" s="6">
        <v>45991</v>
      </c>
      <c r="C392" s="3" t="s">
        <v>39</v>
      </c>
      <c r="D392" s="3" t="s">
        <v>37</v>
      </c>
      <c r="E392" s="3" t="s">
        <v>491</v>
      </c>
      <c r="F392" s="7">
        <v>33100.03</v>
      </c>
      <c r="G392" t="s">
        <v>212</v>
      </c>
      <c r="H392" t="s">
        <v>211</v>
      </c>
    </row>
    <row r="393" spans="1:8" x14ac:dyDescent="0.3">
      <c r="A393" s="2"/>
      <c r="B393" s="6">
        <v>45991</v>
      </c>
      <c r="C393" s="3" t="s">
        <v>39</v>
      </c>
      <c r="D393" s="3" t="s">
        <v>37</v>
      </c>
      <c r="E393" s="3" t="s">
        <v>492</v>
      </c>
      <c r="F393" s="7">
        <v>11386.8</v>
      </c>
      <c r="G393" t="s">
        <v>212</v>
      </c>
      <c r="H393" t="s">
        <v>211</v>
      </c>
    </row>
    <row r="394" spans="1:8" x14ac:dyDescent="0.3">
      <c r="A394" s="2"/>
      <c r="B394" s="6">
        <v>45991</v>
      </c>
      <c r="C394" s="3" t="s">
        <v>543</v>
      </c>
      <c r="D394" s="3" t="s">
        <v>37</v>
      </c>
      <c r="E394" s="3" t="s">
        <v>491</v>
      </c>
      <c r="F394" s="7">
        <v>6361.66</v>
      </c>
      <c r="G394" t="s">
        <v>212</v>
      </c>
      <c r="H394" t="s">
        <v>211</v>
      </c>
    </row>
    <row r="395" spans="1:8" x14ac:dyDescent="0.3">
      <c r="A395" s="2"/>
      <c r="B395" s="6">
        <v>45991</v>
      </c>
      <c r="C395" s="3" t="s">
        <v>543</v>
      </c>
      <c r="D395" s="3" t="s">
        <v>37</v>
      </c>
      <c r="E395" s="3" t="s">
        <v>492</v>
      </c>
      <c r="F395" s="7">
        <v>2188.48</v>
      </c>
      <c r="G395" t="s">
        <v>212</v>
      </c>
      <c r="H395" t="s">
        <v>211</v>
      </c>
    </row>
    <row r="396" spans="1:8" x14ac:dyDescent="0.3">
      <c r="A396" s="2"/>
      <c r="B396" s="6">
        <v>45991</v>
      </c>
      <c r="C396" s="3" t="s">
        <v>45</v>
      </c>
      <c r="D396" s="3" t="s">
        <v>37</v>
      </c>
      <c r="E396" s="3" t="s">
        <v>491</v>
      </c>
      <c r="F396" s="7">
        <v>2471.83</v>
      </c>
      <c r="G396" t="s">
        <v>212</v>
      </c>
      <c r="H396" t="s">
        <v>211</v>
      </c>
    </row>
    <row r="397" spans="1:8" x14ac:dyDescent="0.3">
      <c r="A397" s="2"/>
      <c r="B397" s="6">
        <v>45991</v>
      </c>
      <c r="C397" s="3" t="s">
        <v>45</v>
      </c>
      <c r="D397" s="3" t="s">
        <v>37</v>
      </c>
      <c r="E397" s="3" t="s">
        <v>492</v>
      </c>
      <c r="F397" s="7">
        <v>850.34</v>
      </c>
      <c r="G397" t="s">
        <v>212</v>
      </c>
      <c r="H397" t="s">
        <v>211</v>
      </c>
    </row>
    <row r="398" spans="1:8" x14ac:dyDescent="0.3">
      <c r="A398" s="2"/>
      <c r="B398" s="6">
        <v>45991</v>
      </c>
      <c r="C398" s="3" t="s">
        <v>51</v>
      </c>
      <c r="D398" s="3" t="s">
        <v>251</v>
      </c>
      <c r="E398" s="3" t="s">
        <v>252</v>
      </c>
      <c r="F398" s="7">
        <v>19970.580000000002</v>
      </c>
      <c r="G398" t="s">
        <v>218</v>
      </c>
      <c r="H398" t="s">
        <v>216</v>
      </c>
    </row>
    <row r="399" spans="1:8" x14ac:dyDescent="0.3">
      <c r="A399" s="2"/>
      <c r="B399" s="6">
        <v>45991</v>
      </c>
      <c r="C399" s="3" t="s">
        <v>53</v>
      </c>
      <c r="D399" s="3" t="s">
        <v>251</v>
      </c>
      <c r="E399" s="3" t="s">
        <v>252</v>
      </c>
      <c r="F399" s="7">
        <v>16324.58</v>
      </c>
      <c r="G399" t="s">
        <v>218</v>
      </c>
      <c r="H399" t="s">
        <v>216</v>
      </c>
    </row>
    <row r="400" spans="1:8" x14ac:dyDescent="0.3">
      <c r="A400" s="2"/>
      <c r="B400" s="6">
        <v>45991</v>
      </c>
      <c r="C400" s="3" t="s">
        <v>544</v>
      </c>
      <c r="D400" s="3" t="s">
        <v>251</v>
      </c>
      <c r="E400" s="3" t="s">
        <v>252</v>
      </c>
      <c r="F400" s="7">
        <v>3838.24</v>
      </c>
      <c r="G400" t="s">
        <v>218</v>
      </c>
      <c r="H400" t="s">
        <v>216</v>
      </c>
    </row>
    <row r="401" spans="1:8" x14ac:dyDescent="0.3">
      <c r="A401" s="2"/>
      <c r="B401" s="6">
        <v>45991</v>
      </c>
      <c r="C401" s="3" t="s">
        <v>58</v>
      </c>
      <c r="D401" s="3" t="s">
        <v>251</v>
      </c>
      <c r="E401" s="3" t="s">
        <v>252</v>
      </c>
      <c r="F401" s="7">
        <v>1491.36</v>
      </c>
      <c r="G401" t="s">
        <v>218</v>
      </c>
      <c r="H401" t="s">
        <v>216</v>
      </c>
    </row>
    <row r="402" spans="1:8" x14ac:dyDescent="0.3">
      <c r="A402" s="2"/>
      <c r="B402" s="6">
        <v>45991</v>
      </c>
      <c r="C402" s="3" t="s">
        <v>62</v>
      </c>
      <c r="D402" s="3" t="s">
        <v>251</v>
      </c>
      <c r="E402" s="3" t="s">
        <v>252</v>
      </c>
      <c r="F402" s="7">
        <v>1048.04</v>
      </c>
      <c r="G402" t="s">
        <v>217</v>
      </c>
      <c r="H402" t="s">
        <v>216</v>
      </c>
    </row>
    <row r="403" spans="1:8" x14ac:dyDescent="0.3">
      <c r="A403" s="2"/>
      <c r="B403" s="6">
        <v>45991</v>
      </c>
      <c r="C403" s="3" t="s">
        <v>63</v>
      </c>
      <c r="D403" s="3" t="s">
        <v>251</v>
      </c>
      <c r="E403" s="3" t="s">
        <v>252</v>
      </c>
      <c r="F403" s="7">
        <v>1139.1199999999999</v>
      </c>
      <c r="G403" t="s">
        <v>217</v>
      </c>
      <c r="H403" t="s">
        <v>216</v>
      </c>
    </row>
    <row r="404" spans="1:8" x14ac:dyDescent="0.3">
      <c r="A404" s="2"/>
      <c r="B404" s="6">
        <v>45991</v>
      </c>
      <c r="C404" s="3" t="s">
        <v>66</v>
      </c>
      <c r="D404" s="3" t="s">
        <v>251</v>
      </c>
      <c r="E404" s="3" t="s">
        <v>252</v>
      </c>
      <c r="F404" s="7">
        <v>12500</v>
      </c>
      <c r="G404" t="s">
        <v>219</v>
      </c>
      <c r="H404" t="s">
        <v>216</v>
      </c>
    </row>
    <row r="405" spans="1:8" x14ac:dyDescent="0.3">
      <c r="A405" s="2"/>
      <c r="B405" s="6">
        <v>45991</v>
      </c>
      <c r="C405" s="3" t="s">
        <v>68</v>
      </c>
      <c r="D405" s="3" t="s">
        <v>251</v>
      </c>
      <c r="E405" s="3" t="s">
        <v>252</v>
      </c>
      <c r="F405" s="7">
        <v>9650</v>
      </c>
      <c r="G405" t="s">
        <v>219</v>
      </c>
      <c r="H405" t="s">
        <v>216</v>
      </c>
    </row>
    <row r="406" spans="1:8" x14ac:dyDescent="0.3">
      <c r="A406" s="2"/>
      <c r="B406" s="6">
        <v>45991</v>
      </c>
      <c r="C406" s="3" t="s">
        <v>70</v>
      </c>
      <c r="D406" s="3" t="s">
        <v>251</v>
      </c>
      <c r="E406" s="3" t="s">
        <v>252</v>
      </c>
      <c r="F406" s="7">
        <v>1750</v>
      </c>
      <c r="G406" t="s">
        <v>219</v>
      </c>
      <c r="H406" t="s">
        <v>216</v>
      </c>
    </row>
    <row r="407" spans="1:8" x14ac:dyDescent="0.3">
      <c r="A407" s="2"/>
      <c r="B407" s="6">
        <v>45991</v>
      </c>
      <c r="C407" s="3" t="s">
        <v>71</v>
      </c>
      <c r="D407" s="3" t="s">
        <v>251</v>
      </c>
      <c r="E407" s="3" t="s">
        <v>252</v>
      </c>
      <c r="F407" s="7">
        <v>4971.93</v>
      </c>
      <c r="G407" t="s">
        <v>219</v>
      </c>
      <c r="H407" t="s">
        <v>216</v>
      </c>
    </row>
    <row r="408" spans="1:8" x14ac:dyDescent="0.3">
      <c r="A408" s="2"/>
      <c r="B408" s="6">
        <v>45991</v>
      </c>
      <c r="C408" s="3" t="s">
        <v>71</v>
      </c>
      <c r="D408" s="3" t="s">
        <v>251</v>
      </c>
      <c r="E408" s="3" t="s">
        <v>491</v>
      </c>
      <c r="F408" s="7">
        <v>7700</v>
      </c>
      <c r="G408" t="s">
        <v>219</v>
      </c>
      <c r="H408" t="s">
        <v>216</v>
      </c>
    </row>
    <row r="409" spans="1:8" x14ac:dyDescent="0.3">
      <c r="A409" s="2"/>
      <c r="B409" s="6">
        <v>45991</v>
      </c>
      <c r="C409" s="3" t="s">
        <v>77</v>
      </c>
      <c r="D409" s="3" t="s">
        <v>251</v>
      </c>
      <c r="E409" s="3" t="s">
        <v>252</v>
      </c>
      <c r="F409" s="7">
        <v>50</v>
      </c>
      <c r="G409" t="s">
        <v>220</v>
      </c>
      <c r="H409" t="s">
        <v>216</v>
      </c>
    </row>
    <row r="410" spans="1:8" x14ac:dyDescent="0.3">
      <c r="A410" s="2"/>
      <c r="B410" s="6">
        <v>45991</v>
      </c>
      <c r="C410" s="3" t="s">
        <v>92</v>
      </c>
      <c r="D410" s="3" t="s">
        <v>251</v>
      </c>
      <c r="E410" s="3" t="s">
        <v>252</v>
      </c>
      <c r="F410" s="7">
        <v>1533.24</v>
      </c>
      <c r="G410" t="s">
        <v>222</v>
      </c>
      <c r="H410" t="s">
        <v>216</v>
      </c>
    </row>
    <row r="411" spans="1:8" x14ac:dyDescent="0.3">
      <c r="A411" s="2"/>
      <c r="B411" s="6">
        <v>45991</v>
      </c>
      <c r="C411" s="3" t="s">
        <v>93</v>
      </c>
      <c r="D411" s="3" t="s">
        <v>251</v>
      </c>
      <c r="E411" s="3" t="s">
        <v>252</v>
      </c>
      <c r="F411" s="7">
        <v>118.16</v>
      </c>
      <c r="G411" t="s">
        <v>222</v>
      </c>
      <c r="H411" t="s">
        <v>216</v>
      </c>
    </row>
    <row r="412" spans="1:8" x14ac:dyDescent="0.3">
      <c r="A412" s="2"/>
      <c r="B412" s="6">
        <v>45991</v>
      </c>
      <c r="C412" s="3" t="s">
        <v>94</v>
      </c>
      <c r="D412" s="3" t="s">
        <v>251</v>
      </c>
      <c r="E412" s="3" t="s">
        <v>252</v>
      </c>
      <c r="F412" s="7">
        <v>65.77</v>
      </c>
      <c r="G412" t="s">
        <v>222</v>
      </c>
      <c r="H412" t="s">
        <v>216</v>
      </c>
    </row>
    <row r="413" spans="1:8" x14ac:dyDescent="0.3">
      <c r="A413" s="2"/>
      <c r="B413" s="6">
        <v>45991</v>
      </c>
      <c r="C413" s="3" t="s">
        <v>99</v>
      </c>
      <c r="D413" s="3" t="s">
        <v>251</v>
      </c>
      <c r="E413" s="3" t="s">
        <v>491</v>
      </c>
      <c r="F413" s="7">
        <v>468.08</v>
      </c>
      <c r="G413" t="s">
        <v>126</v>
      </c>
      <c r="H413" t="s">
        <v>216</v>
      </c>
    </row>
    <row r="414" spans="1:8" x14ac:dyDescent="0.3">
      <c r="A414" s="2"/>
      <c r="B414" s="6">
        <v>45991</v>
      </c>
      <c r="C414" s="3" t="s">
        <v>99</v>
      </c>
      <c r="D414" s="3" t="s">
        <v>251</v>
      </c>
      <c r="E414" s="3" t="s">
        <v>252</v>
      </c>
      <c r="F414" s="7">
        <v>1672.83</v>
      </c>
      <c r="G414" t="s">
        <v>126</v>
      </c>
      <c r="H414" t="s">
        <v>216</v>
      </c>
    </row>
    <row r="415" spans="1:8" x14ac:dyDescent="0.3">
      <c r="A415" s="2"/>
      <c r="B415" s="6">
        <v>45991</v>
      </c>
      <c r="C415" s="3" t="s">
        <v>100</v>
      </c>
      <c r="D415" s="3" t="s">
        <v>251</v>
      </c>
      <c r="E415" s="3" t="s">
        <v>252</v>
      </c>
      <c r="F415" s="7">
        <v>224.85</v>
      </c>
      <c r="G415" t="s">
        <v>217</v>
      </c>
      <c r="H415" t="s">
        <v>216</v>
      </c>
    </row>
    <row r="416" spans="1:8" x14ac:dyDescent="0.3">
      <c r="A416" s="2"/>
      <c r="B416" s="6">
        <v>45991</v>
      </c>
      <c r="C416" s="3" t="s">
        <v>101</v>
      </c>
      <c r="D416" s="3" t="s">
        <v>251</v>
      </c>
      <c r="E416" s="3" t="s">
        <v>252</v>
      </c>
      <c r="F416" s="7">
        <v>7.41</v>
      </c>
      <c r="G416" t="s">
        <v>217</v>
      </c>
      <c r="H416" t="s">
        <v>216</v>
      </c>
    </row>
    <row r="417" spans="1:8" x14ac:dyDescent="0.3">
      <c r="A417" s="2"/>
      <c r="B417" s="6">
        <v>45991</v>
      </c>
      <c r="C417" s="3" t="s">
        <v>102</v>
      </c>
      <c r="D417" s="3" t="s">
        <v>251</v>
      </c>
      <c r="E417" s="3" t="s">
        <v>252</v>
      </c>
      <c r="F417" s="7">
        <v>566.52</v>
      </c>
      <c r="G417" t="s">
        <v>217</v>
      </c>
      <c r="H417" t="s">
        <v>216</v>
      </c>
    </row>
    <row r="418" spans="1:8" x14ac:dyDescent="0.3">
      <c r="A418" s="2"/>
      <c r="B418" s="6">
        <v>45991</v>
      </c>
      <c r="C418" s="3" t="s">
        <v>103</v>
      </c>
      <c r="D418" s="3" t="s">
        <v>251</v>
      </c>
      <c r="E418" s="3" t="s">
        <v>252</v>
      </c>
      <c r="F418" s="7">
        <v>160</v>
      </c>
      <c r="G418" t="s">
        <v>217</v>
      </c>
      <c r="H418" t="s">
        <v>216</v>
      </c>
    </row>
    <row r="419" spans="1:8" x14ac:dyDescent="0.3">
      <c r="A419" s="2"/>
      <c r="B419" s="6">
        <v>45991</v>
      </c>
      <c r="C419" s="3" t="s">
        <v>105</v>
      </c>
      <c r="D419" s="3" t="s">
        <v>251</v>
      </c>
      <c r="E419" s="3" t="s">
        <v>252</v>
      </c>
      <c r="F419" s="7">
        <v>160.9</v>
      </c>
      <c r="G419" t="s">
        <v>217</v>
      </c>
      <c r="H419" t="s">
        <v>216</v>
      </c>
    </row>
    <row r="420" spans="1:8" x14ac:dyDescent="0.3">
      <c r="A420" s="2"/>
      <c r="B420" s="6">
        <v>45991</v>
      </c>
      <c r="C420" s="3" t="s">
        <v>110</v>
      </c>
      <c r="D420" s="3" t="s">
        <v>251</v>
      </c>
      <c r="E420" s="3" t="s">
        <v>491</v>
      </c>
      <c r="F420" s="7">
        <v>20</v>
      </c>
      <c r="G420" t="s">
        <v>217</v>
      </c>
      <c r="H420" t="s">
        <v>216</v>
      </c>
    </row>
    <row r="421" spans="1:8" x14ac:dyDescent="0.3">
      <c r="A421" s="2"/>
      <c r="B421" s="6">
        <v>45991</v>
      </c>
      <c r="C421" s="3" t="s">
        <v>110</v>
      </c>
      <c r="D421" s="3" t="s">
        <v>251</v>
      </c>
      <c r="E421" s="3" t="s">
        <v>252</v>
      </c>
      <c r="F421" s="7">
        <v>32.5</v>
      </c>
      <c r="G421" t="s">
        <v>217</v>
      </c>
      <c r="H421" t="s">
        <v>216</v>
      </c>
    </row>
    <row r="422" spans="1:8" x14ac:dyDescent="0.3">
      <c r="A422" s="2"/>
      <c r="B422" s="6">
        <v>45991</v>
      </c>
      <c r="C422" s="3" t="s">
        <v>124</v>
      </c>
      <c r="D422" s="3" t="s">
        <v>251</v>
      </c>
      <c r="E422" s="3" t="s">
        <v>252</v>
      </c>
      <c r="F422" s="7">
        <v>35</v>
      </c>
      <c r="G422" t="s">
        <v>217</v>
      </c>
      <c r="H422" t="s">
        <v>216</v>
      </c>
    </row>
    <row r="423" spans="1:8" x14ac:dyDescent="0.3">
      <c r="A423" s="2"/>
      <c r="B423" s="6">
        <v>46022</v>
      </c>
      <c r="C423" s="3" t="s">
        <v>551</v>
      </c>
      <c r="D423" s="3" t="s">
        <v>34</v>
      </c>
      <c r="E423" s="3" t="s">
        <v>492</v>
      </c>
      <c r="F423" s="7">
        <v>121685.44</v>
      </c>
      <c r="G423" t="s">
        <v>492</v>
      </c>
      <c r="H423" t="s">
        <v>208</v>
      </c>
    </row>
    <row r="424" spans="1:8" x14ac:dyDescent="0.3">
      <c r="A424" s="2"/>
      <c r="B424" s="6">
        <v>46022</v>
      </c>
      <c r="C424" s="3" t="s">
        <v>560</v>
      </c>
      <c r="D424" s="3" t="s">
        <v>34</v>
      </c>
      <c r="E424" s="3" t="s">
        <v>491</v>
      </c>
      <c r="F424" s="7">
        <v>13296.8</v>
      </c>
      <c r="G424" t="s">
        <v>491</v>
      </c>
      <c r="H424" t="s">
        <v>208</v>
      </c>
    </row>
    <row r="425" spans="1:8" x14ac:dyDescent="0.3">
      <c r="A425" s="2"/>
      <c r="B425" s="6">
        <v>46022</v>
      </c>
      <c r="C425" s="3" t="s">
        <v>561</v>
      </c>
      <c r="D425" s="3" t="s">
        <v>34</v>
      </c>
      <c r="E425" s="3" t="s">
        <v>491</v>
      </c>
      <c r="F425" s="7">
        <v>3187.71</v>
      </c>
      <c r="G425" t="s">
        <v>491</v>
      </c>
      <c r="H425" t="s">
        <v>208</v>
      </c>
    </row>
    <row r="426" spans="1:8" x14ac:dyDescent="0.3">
      <c r="A426" s="2"/>
      <c r="B426" s="6">
        <v>46022</v>
      </c>
      <c r="C426" s="3" t="s">
        <v>552</v>
      </c>
      <c r="D426" s="3" t="s">
        <v>37</v>
      </c>
      <c r="E426" s="3" t="s">
        <v>491</v>
      </c>
      <c r="F426" s="7">
        <v>7631.8</v>
      </c>
      <c r="G426" t="s">
        <v>550</v>
      </c>
      <c r="H426" t="s">
        <v>211</v>
      </c>
    </row>
    <row r="427" spans="1:8" x14ac:dyDescent="0.3">
      <c r="A427" s="2"/>
      <c r="B427" s="6">
        <v>46022</v>
      </c>
      <c r="C427" s="3" t="s">
        <v>552</v>
      </c>
      <c r="D427" s="3" t="s">
        <v>37</v>
      </c>
      <c r="E427" s="3" t="s">
        <v>492</v>
      </c>
      <c r="F427" s="7">
        <v>1600</v>
      </c>
      <c r="G427" t="s">
        <v>550</v>
      </c>
      <c r="H427" t="s">
        <v>211</v>
      </c>
    </row>
    <row r="428" spans="1:8" x14ac:dyDescent="0.3">
      <c r="A428" s="2"/>
      <c r="B428" s="6">
        <v>46022</v>
      </c>
      <c r="C428" s="3" t="s">
        <v>39</v>
      </c>
      <c r="D428" s="3" t="s">
        <v>37</v>
      </c>
      <c r="E428" s="3" t="s">
        <v>491</v>
      </c>
      <c r="F428" s="7">
        <v>36382.44</v>
      </c>
      <c r="G428" t="s">
        <v>212</v>
      </c>
      <c r="H428" t="s">
        <v>211</v>
      </c>
    </row>
    <row r="429" spans="1:8" x14ac:dyDescent="0.3">
      <c r="A429" s="2"/>
      <c r="B429" s="6">
        <v>46022</v>
      </c>
      <c r="C429" s="3" t="s">
        <v>39</v>
      </c>
      <c r="D429" s="3" t="s">
        <v>37</v>
      </c>
      <c r="E429" s="3" t="s">
        <v>492</v>
      </c>
      <c r="F429" s="7">
        <v>12515.99</v>
      </c>
      <c r="G429" t="s">
        <v>212</v>
      </c>
      <c r="H429" t="s">
        <v>211</v>
      </c>
    </row>
    <row r="430" spans="1:8" x14ac:dyDescent="0.3">
      <c r="A430" s="2"/>
      <c r="B430" s="6">
        <v>46022</v>
      </c>
      <c r="C430" s="3" t="s">
        <v>543</v>
      </c>
      <c r="D430" s="3" t="s">
        <v>37</v>
      </c>
      <c r="E430" s="3" t="s">
        <v>492</v>
      </c>
      <c r="F430" s="7">
        <v>2284.2800000000002</v>
      </c>
      <c r="G430" t="s">
        <v>212</v>
      </c>
      <c r="H430" t="s">
        <v>211</v>
      </c>
    </row>
    <row r="431" spans="1:8" x14ac:dyDescent="0.3">
      <c r="A431" s="2"/>
      <c r="B431" s="6">
        <v>46022</v>
      </c>
      <c r="C431" s="3" t="s">
        <v>543</v>
      </c>
      <c r="D431" s="3" t="s">
        <v>37</v>
      </c>
      <c r="E431" s="3" t="s">
        <v>491</v>
      </c>
      <c r="F431" s="7">
        <v>6640.13</v>
      </c>
      <c r="G431" t="s">
        <v>212</v>
      </c>
      <c r="H431" t="s">
        <v>211</v>
      </c>
    </row>
    <row r="432" spans="1:8" x14ac:dyDescent="0.3">
      <c r="A432" s="2"/>
      <c r="B432" s="6">
        <v>46022</v>
      </c>
      <c r="C432" s="3" t="s">
        <v>41</v>
      </c>
      <c r="D432" s="3" t="s">
        <v>37</v>
      </c>
      <c r="E432" s="3" t="s">
        <v>492</v>
      </c>
      <c r="F432" s="7">
        <v>206.68</v>
      </c>
      <c r="G432" t="s">
        <v>212</v>
      </c>
      <c r="H432" t="s">
        <v>211</v>
      </c>
    </row>
    <row r="433" spans="1:8" x14ac:dyDescent="0.3">
      <c r="A433" s="2"/>
      <c r="B433" s="6">
        <v>46022</v>
      </c>
      <c r="C433" s="3" t="s">
        <v>41</v>
      </c>
      <c r="D433" s="3" t="s">
        <v>37</v>
      </c>
      <c r="E433" s="3" t="s">
        <v>491</v>
      </c>
      <c r="F433" s="7">
        <v>600.82000000000005</v>
      </c>
      <c r="G433" t="s">
        <v>212</v>
      </c>
      <c r="H433" t="s">
        <v>211</v>
      </c>
    </row>
    <row r="434" spans="1:8" x14ac:dyDescent="0.3">
      <c r="A434" s="2"/>
      <c r="B434" s="6">
        <v>46022</v>
      </c>
      <c r="C434" s="3" t="s">
        <v>43</v>
      </c>
      <c r="D434" s="3" t="s">
        <v>37</v>
      </c>
      <c r="E434" s="3" t="s">
        <v>491</v>
      </c>
      <c r="F434" s="7">
        <v>-70.540000000000006</v>
      </c>
      <c r="G434" t="s">
        <v>212</v>
      </c>
      <c r="H434" t="s">
        <v>211</v>
      </c>
    </row>
    <row r="435" spans="1:8" x14ac:dyDescent="0.3">
      <c r="A435" s="2"/>
      <c r="B435" s="6">
        <v>46022</v>
      </c>
      <c r="C435" s="3" t="s">
        <v>43</v>
      </c>
      <c r="D435" s="3" t="s">
        <v>37</v>
      </c>
      <c r="E435" s="3" t="s">
        <v>492</v>
      </c>
      <c r="F435" s="7">
        <v>-24.27</v>
      </c>
      <c r="G435" t="s">
        <v>212</v>
      </c>
      <c r="H435" t="s">
        <v>211</v>
      </c>
    </row>
    <row r="436" spans="1:8" x14ac:dyDescent="0.3">
      <c r="A436" s="2"/>
      <c r="B436" s="6">
        <v>46022</v>
      </c>
      <c r="C436" s="3" t="s">
        <v>45</v>
      </c>
      <c r="D436" s="3" t="s">
        <v>37</v>
      </c>
      <c r="E436" s="3" t="s">
        <v>491</v>
      </c>
      <c r="F436" s="7">
        <v>4521.8500000000004</v>
      </c>
      <c r="G436" t="s">
        <v>212</v>
      </c>
      <c r="H436" t="s">
        <v>211</v>
      </c>
    </row>
    <row r="437" spans="1:8" x14ac:dyDescent="0.3">
      <c r="A437" s="2"/>
      <c r="B437" s="6">
        <v>46022</v>
      </c>
      <c r="C437" s="3" t="s">
        <v>51</v>
      </c>
      <c r="D437" s="3" t="s">
        <v>251</v>
      </c>
      <c r="E437" s="3" t="s">
        <v>252</v>
      </c>
      <c r="F437" s="7">
        <v>21950.99</v>
      </c>
      <c r="G437" t="s">
        <v>218</v>
      </c>
      <c r="H437" t="s">
        <v>216</v>
      </c>
    </row>
    <row r="438" spans="1:8" x14ac:dyDescent="0.3">
      <c r="A438" s="2"/>
      <c r="B438" s="6">
        <v>46022</v>
      </c>
      <c r="C438" s="3" t="s">
        <v>53</v>
      </c>
      <c r="D438" s="3" t="s">
        <v>251</v>
      </c>
      <c r="E438" s="3" t="s">
        <v>252</v>
      </c>
      <c r="F438" s="7">
        <v>16324.58</v>
      </c>
      <c r="G438" t="s">
        <v>218</v>
      </c>
      <c r="H438" t="s">
        <v>216</v>
      </c>
    </row>
    <row r="439" spans="1:8" x14ac:dyDescent="0.3">
      <c r="A439" s="2"/>
      <c r="B439" s="6">
        <v>46022</v>
      </c>
      <c r="C439" s="3" t="s">
        <v>544</v>
      </c>
      <c r="D439" s="3" t="s">
        <v>251</v>
      </c>
      <c r="E439" s="3" t="s">
        <v>252</v>
      </c>
      <c r="F439" s="7">
        <v>4006.26</v>
      </c>
      <c r="G439" t="s">
        <v>218</v>
      </c>
      <c r="H439" t="s">
        <v>216</v>
      </c>
    </row>
    <row r="440" spans="1:8" x14ac:dyDescent="0.3">
      <c r="A440" s="2"/>
      <c r="B440" s="6">
        <v>46022</v>
      </c>
      <c r="C440" s="3" t="s">
        <v>54</v>
      </c>
      <c r="D440" s="3" t="s">
        <v>251</v>
      </c>
      <c r="E440" s="3" t="s">
        <v>252</v>
      </c>
      <c r="F440" s="7">
        <v>362.5</v>
      </c>
      <c r="G440" t="s">
        <v>218</v>
      </c>
      <c r="H440" t="s">
        <v>216</v>
      </c>
    </row>
    <row r="441" spans="1:8" x14ac:dyDescent="0.3">
      <c r="A441" s="2"/>
      <c r="B441" s="6">
        <v>46022</v>
      </c>
      <c r="C441" s="3" t="s">
        <v>56</v>
      </c>
      <c r="D441" s="3" t="s">
        <v>251</v>
      </c>
      <c r="E441" s="3" t="s">
        <v>252</v>
      </c>
      <c r="F441" s="7">
        <v>-42.56</v>
      </c>
      <c r="G441" t="s">
        <v>218</v>
      </c>
      <c r="H441" t="s">
        <v>216</v>
      </c>
    </row>
    <row r="442" spans="1:8" x14ac:dyDescent="0.3">
      <c r="A442" s="2"/>
      <c r="B442" s="6">
        <v>46022</v>
      </c>
      <c r="C442" s="3" t="s">
        <v>66</v>
      </c>
      <c r="D442" s="3" t="s">
        <v>251</v>
      </c>
      <c r="E442" s="3" t="s">
        <v>252</v>
      </c>
      <c r="F442" s="7">
        <v>22500</v>
      </c>
      <c r="G442" t="s">
        <v>219</v>
      </c>
      <c r="H442" t="s">
        <v>216</v>
      </c>
    </row>
    <row r="443" spans="1:8" x14ac:dyDescent="0.3">
      <c r="A443" s="2"/>
      <c r="B443" s="6">
        <v>46022</v>
      </c>
      <c r="C443" s="3" t="s">
        <v>68</v>
      </c>
      <c r="D443" s="3" t="s">
        <v>251</v>
      </c>
      <c r="E443" s="3" t="s">
        <v>252</v>
      </c>
      <c r="F443" s="7">
        <v>5800</v>
      </c>
      <c r="G443" t="s">
        <v>219</v>
      </c>
      <c r="H443" t="s">
        <v>216</v>
      </c>
    </row>
    <row r="444" spans="1:8" x14ac:dyDescent="0.3">
      <c r="A444" s="2"/>
      <c r="B444" s="6">
        <v>46022</v>
      </c>
      <c r="C444" s="3" t="s">
        <v>69</v>
      </c>
      <c r="D444" s="3" t="s">
        <v>251</v>
      </c>
      <c r="E444" s="3" t="s">
        <v>252</v>
      </c>
      <c r="F444" s="7">
        <v>365.24</v>
      </c>
      <c r="G444" t="s">
        <v>219</v>
      </c>
      <c r="H444" t="s">
        <v>216</v>
      </c>
    </row>
    <row r="445" spans="1:8" x14ac:dyDescent="0.3">
      <c r="A445" s="2"/>
      <c r="B445" s="6">
        <v>46022</v>
      </c>
      <c r="C445" s="3" t="s">
        <v>70</v>
      </c>
      <c r="D445" s="3" t="s">
        <v>251</v>
      </c>
      <c r="E445" s="3" t="s">
        <v>252</v>
      </c>
      <c r="F445" s="7">
        <v>2250</v>
      </c>
      <c r="G445" t="s">
        <v>219</v>
      </c>
      <c r="H445" t="s">
        <v>216</v>
      </c>
    </row>
    <row r="446" spans="1:8" x14ac:dyDescent="0.3">
      <c r="A446" s="2"/>
      <c r="B446" s="6">
        <v>46022</v>
      </c>
      <c r="C446" s="3" t="s">
        <v>71</v>
      </c>
      <c r="D446" s="3" t="s">
        <v>251</v>
      </c>
      <c r="E446" s="3" t="s">
        <v>252</v>
      </c>
      <c r="F446" s="7">
        <v>1640</v>
      </c>
      <c r="G446" t="s">
        <v>219</v>
      </c>
      <c r="H446" t="s">
        <v>216</v>
      </c>
    </row>
    <row r="447" spans="1:8" x14ac:dyDescent="0.3">
      <c r="A447" s="2"/>
      <c r="B447" s="6">
        <v>46022</v>
      </c>
      <c r="C447" s="3" t="s">
        <v>84</v>
      </c>
      <c r="D447" s="3" t="s">
        <v>251</v>
      </c>
      <c r="E447" s="3" t="s">
        <v>491</v>
      </c>
      <c r="F447" s="7">
        <v>829.66</v>
      </c>
      <c r="G447" t="s">
        <v>221</v>
      </c>
      <c r="H447" t="s">
        <v>216</v>
      </c>
    </row>
    <row r="448" spans="1:8" x14ac:dyDescent="0.3">
      <c r="A448" s="2"/>
      <c r="B448" s="6">
        <v>46022</v>
      </c>
      <c r="C448" s="3" t="s">
        <v>85</v>
      </c>
      <c r="D448" s="3" t="s">
        <v>251</v>
      </c>
      <c r="E448" s="3" t="s">
        <v>491</v>
      </c>
      <c r="F448" s="7">
        <v>517.17999999999995</v>
      </c>
      <c r="G448" t="s">
        <v>221</v>
      </c>
      <c r="H448" t="s">
        <v>216</v>
      </c>
    </row>
    <row r="449" spans="1:8" x14ac:dyDescent="0.3">
      <c r="A449" s="2"/>
      <c r="B449" s="6">
        <v>46022</v>
      </c>
      <c r="C449" s="3" t="s">
        <v>86</v>
      </c>
      <c r="D449" s="3" t="s">
        <v>251</v>
      </c>
      <c r="E449" s="3" t="s">
        <v>252</v>
      </c>
      <c r="F449" s="7">
        <v>353</v>
      </c>
      <c r="G449" t="s">
        <v>221</v>
      </c>
      <c r="H449" t="s">
        <v>216</v>
      </c>
    </row>
    <row r="450" spans="1:8" x14ac:dyDescent="0.3">
      <c r="A450" s="2"/>
      <c r="B450" s="6">
        <v>46022</v>
      </c>
      <c r="C450" s="3" t="s">
        <v>86</v>
      </c>
      <c r="D450" s="3" t="s">
        <v>251</v>
      </c>
      <c r="E450" s="3" t="s">
        <v>491</v>
      </c>
      <c r="F450" s="7">
        <v>26.34</v>
      </c>
      <c r="G450" t="s">
        <v>221</v>
      </c>
      <c r="H450" t="s">
        <v>216</v>
      </c>
    </row>
    <row r="451" spans="1:8" x14ac:dyDescent="0.3">
      <c r="A451" s="2"/>
      <c r="B451" s="6">
        <v>46022</v>
      </c>
      <c r="C451" s="3" t="s">
        <v>87</v>
      </c>
      <c r="D451" s="3" t="s">
        <v>251</v>
      </c>
      <c r="E451" s="3" t="s">
        <v>491</v>
      </c>
      <c r="F451" s="7">
        <v>129.97</v>
      </c>
      <c r="G451" t="s">
        <v>221</v>
      </c>
      <c r="H451" t="s">
        <v>216</v>
      </c>
    </row>
    <row r="452" spans="1:8" x14ac:dyDescent="0.3">
      <c r="A452" s="2"/>
      <c r="B452" s="6">
        <v>46022</v>
      </c>
      <c r="C452" s="3" t="s">
        <v>92</v>
      </c>
      <c r="D452" s="3" t="s">
        <v>251</v>
      </c>
      <c r="E452" s="3" t="s">
        <v>252</v>
      </c>
      <c r="F452" s="7">
        <v>362</v>
      </c>
      <c r="G452" t="s">
        <v>222</v>
      </c>
      <c r="H452" t="s">
        <v>216</v>
      </c>
    </row>
    <row r="453" spans="1:8" x14ac:dyDescent="0.3">
      <c r="A453" s="2"/>
      <c r="B453" s="6">
        <v>46022</v>
      </c>
      <c r="C453" s="3" t="s">
        <v>99</v>
      </c>
      <c r="D453" s="3" t="s">
        <v>251</v>
      </c>
      <c r="E453" s="3" t="s">
        <v>252</v>
      </c>
      <c r="F453" s="7">
        <v>1973.16</v>
      </c>
      <c r="G453" t="s">
        <v>126</v>
      </c>
      <c r="H453" t="s">
        <v>216</v>
      </c>
    </row>
    <row r="454" spans="1:8" x14ac:dyDescent="0.3">
      <c r="A454" s="2"/>
      <c r="B454" s="6">
        <v>46022</v>
      </c>
      <c r="C454" s="3" t="s">
        <v>99</v>
      </c>
      <c r="D454" s="3" t="s">
        <v>251</v>
      </c>
      <c r="E454" s="3" t="s">
        <v>491</v>
      </c>
      <c r="F454" s="7">
        <v>-126.92</v>
      </c>
      <c r="G454" t="s">
        <v>126</v>
      </c>
      <c r="H454" t="s">
        <v>216</v>
      </c>
    </row>
    <row r="455" spans="1:8" x14ac:dyDescent="0.3">
      <c r="A455" s="2"/>
      <c r="B455" s="6">
        <v>46022</v>
      </c>
      <c r="C455" s="3" t="s">
        <v>100</v>
      </c>
      <c r="D455" s="3" t="s">
        <v>251</v>
      </c>
      <c r="E455" s="3" t="s">
        <v>252</v>
      </c>
      <c r="F455" s="7">
        <v>162.44999999999999</v>
      </c>
      <c r="G455" t="s">
        <v>217</v>
      </c>
      <c r="H455" t="s">
        <v>216</v>
      </c>
    </row>
    <row r="456" spans="1:8" x14ac:dyDescent="0.3">
      <c r="A456" s="2"/>
      <c r="B456" s="6">
        <v>46022</v>
      </c>
      <c r="C456" s="3" t="s">
        <v>101</v>
      </c>
      <c r="D456" s="3" t="s">
        <v>251</v>
      </c>
      <c r="E456" s="3" t="s">
        <v>252</v>
      </c>
      <c r="F456" s="7">
        <v>26.2</v>
      </c>
      <c r="G456" t="s">
        <v>217</v>
      </c>
      <c r="H456" t="s">
        <v>216</v>
      </c>
    </row>
    <row r="457" spans="1:8" x14ac:dyDescent="0.3">
      <c r="A457" s="2"/>
      <c r="B457" s="6">
        <v>46022</v>
      </c>
      <c r="C457" s="3" t="s">
        <v>102</v>
      </c>
      <c r="D457" s="3" t="s">
        <v>251</v>
      </c>
      <c r="E457" s="3" t="s">
        <v>252</v>
      </c>
      <c r="F457" s="7">
        <v>1915</v>
      </c>
      <c r="G457" t="s">
        <v>217</v>
      </c>
      <c r="H457" t="s">
        <v>216</v>
      </c>
    </row>
    <row r="458" spans="1:8" x14ac:dyDescent="0.3">
      <c r="A458" s="2"/>
      <c r="B458" s="6">
        <v>46022</v>
      </c>
      <c r="C458" s="3" t="s">
        <v>103</v>
      </c>
      <c r="D458" s="3" t="s">
        <v>251</v>
      </c>
      <c r="E458" s="3" t="s">
        <v>252</v>
      </c>
      <c r="F458" s="7">
        <v>515</v>
      </c>
      <c r="G458" t="s">
        <v>217</v>
      </c>
      <c r="H458" t="s">
        <v>216</v>
      </c>
    </row>
    <row r="459" spans="1:8" x14ac:dyDescent="0.3">
      <c r="A459" s="2"/>
      <c r="B459" s="6">
        <v>46022</v>
      </c>
      <c r="C459" s="3" t="s">
        <v>105</v>
      </c>
      <c r="D459" s="3" t="s">
        <v>251</v>
      </c>
      <c r="E459" s="3" t="s">
        <v>252</v>
      </c>
      <c r="F459" s="7">
        <v>23.45</v>
      </c>
      <c r="G459" t="s">
        <v>217</v>
      </c>
      <c r="H459" t="s">
        <v>216</v>
      </c>
    </row>
    <row r="460" spans="1:8" x14ac:dyDescent="0.3">
      <c r="A460" s="2"/>
      <c r="B460" s="6">
        <v>46022</v>
      </c>
      <c r="C460" s="3" t="s">
        <v>106</v>
      </c>
      <c r="D460" s="3" t="s">
        <v>251</v>
      </c>
      <c r="E460" s="3" t="s">
        <v>252</v>
      </c>
      <c r="F460" s="7">
        <v>235.59</v>
      </c>
      <c r="G460" t="s">
        <v>217</v>
      </c>
      <c r="H460" t="s">
        <v>216</v>
      </c>
    </row>
    <row r="461" spans="1:8" x14ac:dyDescent="0.3">
      <c r="A461" s="2"/>
      <c r="B461" s="6">
        <v>46022</v>
      </c>
      <c r="C461" s="3" t="s">
        <v>109</v>
      </c>
      <c r="D461" s="3" t="s">
        <v>251</v>
      </c>
      <c r="E461" s="3" t="s">
        <v>252</v>
      </c>
      <c r="F461" s="7">
        <v>200</v>
      </c>
      <c r="G461" t="s">
        <v>217</v>
      </c>
      <c r="H461" t="s">
        <v>216</v>
      </c>
    </row>
    <row r="462" spans="1:8" x14ac:dyDescent="0.3">
      <c r="A462" s="2"/>
      <c r="B462" s="6">
        <v>46022</v>
      </c>
      <c r="C462" s="3" t="s">
        <v>110</v>
      </c>
      <c r="D462" s="3" t="s">
        <v>251</v>
      </c>
      <c r="E462" s="3" t="s">
        <v>252</v>
      </c>
      <c r="F462" s="7">
        <v>4763.83</v>
      </c>
      <c r="G462" t="s">
        <v>217</v>
      </c>
      <c r="H462" t="s">
        <v>216</v>
      </c>
    </row>
    <row r="463" spans="1:8" x14ac:dyDescent="0.3">
      <c r="A463" s="2"/>
      <c r="B463" s="6">
        <v>46022</v>
      </c>
      <c r="C463" s="3" t="s">
        <v>110</v>
      </c>
      <c r="D463" s="3" t="s">
        <v>251</v>
      </c>
      <c r="E463" s="3" t="s">
        <v>491</v>
      </c>
      <c r="F463" s="7">
        <v>404.19</v>
      </c>
      <c r="G463" t="s">
        <v>217</v>
      </c>
      <c r="H463" t="s">
        <v>216</v>
      </c>
    </row>
    <row r="464" spans="1:8" x14ac:dyDescent="0.3">
      <c r="A464" s="2"/>
      <c r="B464" s="6">
        <v>46022</v>
      </c>
      <c r="C464" s="3" t="s">
        <v>110</v>
      </c>
      <c r="D464" s="3" t="s">
        <v>251</v>
      </c>
      <c r="E464" s="3"/>
      <c r="F464" s="7">
        <v>1432.53</v>
      </c>
      <c r="G464" t="s">
        <v>217</v>
      </c>
      <c r="H464" t="s">
        <v>216</v>
      </c>
    </row>
    <row r="465" spans="1:8" x14ac:dyDescent="0.3">
      <c r="A465" s="2"/>
      <c r="B465" s="6">
        <v>46022</v>
      </c>
      <c r="C465" s="3" t="s">
        <v>113</v>
      </c>
      <c r="D465" s="3" t="s">
        <v>251</v>
      </c>
      <c r="E465" s="3" t="s">
        <v>252</v>
      </c>
      <c r="F465" s="7">
        <v>500</v>
      </c>
      <c r="G465" t="s">
        <v>223</v>
      </c>
      <c r="H465" t="s">
        <v>216</v>
      </c>
    </row>
    <row r="466" spans="1:8" x14ac:dyDescent="0.3">
      <c r="A466" s="2"/>
      <c r="B466" s="6">
        <v>46022</v>
      </c>
      <c r="C466" s="3" t="s">
        <v>124</v>
      </c>
      <c r="D466" s="3" t="s">
        <v>251</v>
      </c>
      <c r="E466" s="3" t="s">
        <v>252</v>
      </c>
      <c r="F466" s="7">
        <v>1167</v>
      </c>
      <c r="G466" t="s">
        <v>217</v>
      </c>
      <c r="H466" t="s">
        <v>216</v>
      </c>
    </row>
    <row r="467" spans="1:8" x14ac:dyDescent="0.3">
      <c r="A467" s="2"/>
      <c r="B467" s="6">
        <v>46053</v>
      </c>
      <c r="C467" s="3" t="s">
        <v>551</v>
      </c>
      <c r="D467" s="3" t="s">
        <v>34</v>
      </c>
      <c r="E467" s="3" t="s">
        <v>492</v>
      </c>
      <c r="F467" s="7">
        <v>125841.72</v>
      </c>
      <c r="G467" t="s">
        <v>492</v>
      </c>
      <c r="H467" t="s">
        <v>208</v>
      </c>
    </row>
    <row r="468" spans="1:8" x14ac:dyDescent="0.3">
      <c r="A468" s="2"/>
      <c r="B468" s="6">
        <v>46053</v>
      </c>
      <c r="C468" s="3" t="s">
        <v>560</v>
      </c>
      <c r="D468" s="3" t="s">
        <v>34</v>
      </c>
      <c r="E468" s="3" t="s">
        <v>491</v>
      </c>
      <c r="F468" s="7">
        <v>29014.25</v>
      </c>
      <c r="G468" t="s">
        <v>491</v>
      </c>
      <c r="H468" t="s">
        <v>208</v>
      </c>
    </row>
    <row r="469" spans="1:8" x14ac:dyDescent="0.3">
      <c r="A469" s="2"/>
      <c r="B469" s="6">
        <v>46053</v>
      </c>
      <c r="C469" s="3" t="s">
        <v>561</v>
      </c>
      <c r="D469" s="3" t="s">
        <v>34</v>
      </c>
      <c r="E469" s="3" t="s">
        <v>491</v>
      </c>
      <c r="F469" s="7">
        <v>24412.86</v>
      </c>
      <c r="G469" t="s">
        <v>491</v>
      </c>
      <c r="H469" t="s">
        <v>208</v>
      </c>
    </row>
    <row r="470" spans="1:8" x14ac:dyDescent="0.3">
      <c r="A470" s="2"/>
      <c r="B470" s="6">
        <v>46053</v>
      </c>
      <c r="C470" s="3" t="s">
        <v>552</v>
      </c>
      <c r="D470" s="3" t="s">
        <v>37</v>
      </c>
      <c r="E470" s="3" t="s">
        <v>491</v>
      </c>
      <c r="F470" s="7">
        <v>123.7</v>
      </c>
      <c r="G470" t="s">
        <v>550</v>
      </c>
      <c r="H470" t="s">
        <v>211</v>
      </c>
    </row>
    <row r="471" spans="1:8" x14ac:dyDescent="0.3">
      <c r="A471" s="2"/>
      <c r="B471" s="6">
        <v>46053</v>
      </c>
      <c r="C471" s="3" t="s">
        <v>552</v>
      </c>
      <c r="D471" s="3" t="s">
        <v>37</v>
      </c>
      <c r="E471" s="3" t="s">
        <v>492</v>
      </c>
      <c r="F471" s="7">
        <v>20770</v>
      </c>
      <c r="G471" t="s">
        <v>550</v>
      </c>
      <c r="H471" t="s">
        <v>211</v>
      </c>
    </row>
    <row r="472" spans="1:8" x14ac:dyDescent="0.3">
      <c r="A472" s="2"/>
      <c r="B472" s="6">
        <v>46053</v>
      </c>
      <c r="C472" s="3" t="s">
        <v>39</v>
      </c>
      <c r="D472" s="3" t="s">
        <v>37</v>
      </c>
      <c r="E472" s="3" t="s">
        <v>492</v>
      </c>
      <c r="F472" s="7">
        <v>15585.87</v>
      </c>
      <c r="G472" t="s">
        <v>212</v>
      </c>
      <c r="H472" t="s">
        <v>211</v>
      </c>
    </row>
    <row r="473" spans="1:8" x14ac:dyDescent="0.3">
      <c r="A473" s="2"/>
      <c r="B473" s="6">
        <v>46053</v>
      </c>
      <c r="C473" s="3" t="s">
        <v>39</v>
      </c>
      <c r="D473" s="3" t="s">
        <v>37</v>
      </c>
      <c r="E473" s="3" t="s">
        <v>491</v>
      </c>
      <c r="F473" s="7">
        <v>15943</v>
      </c>
      <c r="G473" t="s">
        <v>212</v>
      </c>
      <c r="H473" t="s">
        <v>211</v>
      </c>
    </row>
    <row r="474" spans="1:8" x14ac:dyDescent="0.3">
      <c r="A474" s="2"/>
      <c r="B474" s="6">
        <v>46053</v>
      </c>
      <c r="C474" s="3" t="s">
        <v>543</v>
      </c>
      <c r="D474" s="3" t="s">
        <v>37</v>
      </c>
      <c r="E474" s="3" t="s">
        <v>491</v>
      </c>
      <c r="F474" s="7">
        <v>5126.4399999999996</v>
      </c>
      <c r="G474" t="s">
        <v>212</v>
      </c>
      <c r="H474" t="s">
        <v>211</v>
      </c>
    </row>
    <row r="475" spans="1:8" x14ac:dyDescent="0.3">
      <c r="A475" s="2"/>
      <c r="B475" s="6">
        <v>46053</v>
      </c>
      <c r="C475" s="3" t="s">
        <v>543</v>
      </c>
      <c r="D475" s="3" t="s">
        <v>37</v>
      </c>
      <c r="E475" s="3" t="s">
        <v>492</v>
      </c>
      <c r="F475" s="7">
        <v>4166.1099999999997</v>
      </c>
      <c r="G475" t="s">
        <v>212</v>
      </c>
      <c r="H475" t="s">
        <v>211</v>
      </c>
    </row>
    <row r="476" spans="1:8" x14ac:dyDescent="0.3">
      <c r="A476" s="2"/>
      <c r="B476" s="6">
        <v>46053</v>
      </c>
      <c r="C476" s="3" t="s">
        <v>43</v>
      </c>
      <c r="D476" s="3" t="s">
        <v>37</v>
      </c>
      <c r="E476" s="3" t="s">
        <v>491</v>
      </c>
      <c r="F476" s="7">
        <v>-92.9</v>
      </c>
      <c r="G476" t="s">
        <v>212</v>
      </c>
      <c r="H476" t="s">
        <v>211</v>
      </c>
    </row>
    <row r="477" spans="1:8" x14ac:dyDescent="0.3">
      <c r="A477" s="2"/>
      <c r="B477" s="6">
        <v>46053</v>
      </c>
      <c r="C477" s="3" t="s">
        <v>43</v>
      </c>
      <c r="D477" s="3" t="s">
        <v>37</v>
      </c>
      <c r="E477" s="3" t="s">
        <v>492</v>
      </c>
      <c r="F477" s="7">
        <v>-65.680000000000007</v>
      </c>
      <c r="G477" t="s">
        <v>212</v>
      </c>
      <c r="H477" t="s">
        <v>211</v>
      </c>
    </row>
    <row r="478" spans="1:8" x14ac:dyDescent="0.3">
      <c r="A478" s="2"/>
      <c r="B478" s="6">
        <v>46053</v>
      </c>
      <c r="C478" s="3" t="s">
        <v>44</v>
      </c>
      <c r="D478" s="3" t="s">
        <v>37</v>
      </c>
      <c r="E478" s="3" t="s">
        <v>491</v>
      </c>
      <c r="F478" s="7">
        <v>69.510000000000005</v>
      </c>
      <c r="G478" t="s">
        <v>212</v>
      </c>
      <c r="H478" t="s">
        <v>211</v>
      </c>
    </row>
    <row r="479" spans="1:8" x14ac:dyDescent="0.3">
      <c r="A479" s="2"/>
      <c r="B479" s="6">
        <v>46053</v>
      </c>
      <c r="C479" s="3" t="s">
        <v>44</v>
      </c>
      <c r="D479" s="3" t="s">
        <v>37</v>
      </c>
      <c r="E479" s="3" t="s">
        <v>492</v>
      </c>
      <c r="F479" s="7">
        <v>45.67</v>
      </c>
      <c r="G479" t="s">
        <v>212</v>
      </c>
      <c r="H479" t="s">
        <v>211</v>
      </c>
    </row>
    <row r="480" spans="1:8" x14ac:dyDescent="0.3">
      <c r="A480" s="2"/>
      <c r="B480" s="6">
        <v>46053</v>
      </c>
      <c r="C480" s="3" t="s">
        <v>45</v>
      </c>
      <c r="D480" s="3" t="s">
        <v>37</v>
      </c>
      <c r="E480" s="3" t="s">
        <v>492</v>
      </c>
      <c r="F480" s="7">
        <v>1550.97</v>
      </c>
      <c r="G480" t="s">
        <v>212</v>
      </c>
      <c r="H480" t="s">
        <v>211</v>
      </c>
    </row>
    <row r="481" spans="1:8" x14ac:dyDescent="0.3">
      <c r="A481" s="2"/>
      <c r="B481" s="6">
        <v>46053</v>
      </c>
      <c r="C481" s="3" t="s">
        <v>45</v>
      </c>
      <c r="D481" s="3" t="s">
        <v>37</v>
      </c>
      <c r="E481" s="3" t="s">
        <v>491</v>
      </c>
      <c r="F481" s="7">
        <v>1362.7</v>
      </c>
      <c r="G481" t="s">
        <v>212</v>
      </c>
      <c r="H481" t="s">
        <v>211</v>
      </c>
    </row>
    <row r="482" spans="1:8" x14ac:dyDescent="0.3">
      <c r="A482" s="2"/>
      <c r="B482" s="6">
        <v>46053</v>
      </c>
      <c r="C482" s="3" t="s">
        <v>51</v>
      </c>
      <c r="D482" s="3" t="s">
        <v>251</v>
      </c>
      <c r="E482" s="3" t="s">
        <v>252</v>
      </c>
      <c r="F482" s="7">
        <v>24990.2</v>
      </c>
      <c r="G482" t="s">
        <v>218</v>
      </c>
      <c r="H482" t="s">
        <v>216</v>
      </c>
    </row>
    <row r="483" spans="1:8" x14ac:dyDescent="0.3">
      <c r="A483" s="2"/>
      <c r="B483" s="6">
        <v>46053</v>
      </c>
      <c r="C483" s="3" t="s">
        <v>53</v>
      </c>
      <c r="D483" s="3" t="s">
        <v>251</v>
      </c>
      <c r="E483" s="3" t="s">
        <v>252</v>
      </c>
      <c r="F483" s="7">
        <v>18656.669999999998</v>
      </c>
      <c r="G483" t="s">
        <v>218</v>
      </c>
      <c r="H483" t="s">
        <v>216</v>
      </c>
    </row>
    <row r="484" spans="1:8" x14ac:dyDescent="0.3">
      <c r="A484" s="2"/>
      <c r="B484" s="6">
        <v>46053</v>
      </c>
      <c r="C484" s="3" t="s">
        <v>544</v>
      </c>
      <c r="D484" s="3" t="s">
        <v>251</v>
      </c>
      <c r="E484" s="3" t="s">
        <v>252</v>
      </c>
      <c r="F484" s="7">
        <v>5627.01</v>
      </c>
      <c r="G484" t="s">
        <v>218</v>
      </c>
      <c r="H484" t="s">
        <v>216</v>
      </c>
    </row>
    <row r="485" spans="1:8" x14ac:dyDescent="0.3">
      <c r="A485" s="2"/>
      <c r="B485" s="6">
        <v>46053</v>
      </c>
      <c r="C485" s="3" t="s">
        <v>55</v>
      </c>
      <c r="D485" s="3" t="s">
        <v>251</v>
      </c>
      <c r="E485" s="3" t="s">
        <v>252</v>
      </c>
      <c r="F485" s="7">
        <v>1588.85</v>
      </c>
      <c r="G485" t="s">
        <v>218</v>
      </c>
      <c r="H485" t="s">
        <v>216</v>
      </c>
    </row>
    <row r="486" spans="1:8" x14ac:dyDescent="0.3">
      <c r="A486" s="2"/>
      <c r="B486" s="6">
        <v>46053</v>
      </c>
      <c r="C486" s="3" t="s">
        <v>56</v>
      </c>
      <c r="D486" s="3" t="s">
        <v>251</v>
      </c>
      <c r="E486" s="3" t="s">
        <v>252</v>
      </c>
      <c r="F486" s="7">
        <v>-12.66</v>
      </c>
      <c r="G486" t="s">
        <v>218</v>
      </c>
      <c r="H486" t="s">
        <v>216</v>
      </c>
    </row>
    <row r="487" spans="1:8" x14ac:dyDescent="0.3">
      <c r="A487" s="2"/>
      <c r="B487" s="6">
        <v>46053</v>
      </c>
      <c r="C487" s="3" t="s">
        <v>57</v>
      </c>
      <c r="D487" s="3" t="s">
        <v>251</v>
      </c>
      <c r="E487" s="3" t="s">
        <v>252</v>
      </c>
      <c r="F487" s="7">
        <v>61.12</v>
      </c>
      <c r="G487" t="s">
        <v>218</v>
      </c>
      <c r="H487" t="s">
        <v>216</v>
      </c>
    </row>
    <row r="488" spans="1:8" x14ac:dyDescent="0.3">
      <c r="A488" s="2"/>
      <c r="B488" s="6">
        <v>46053</v>
      </c>
      <c r="C488" s="3" t="s">
        <v>58</v>
      </c>
      <c r="D488" s="3" t="s">
        <v>251</v>
      </c>
      <c r="E488" s="3" t="s">
        <v>252</v>
      </c>
      <c r="F488" s="7">
        <v>3004.01</v>
      </c>
      <c r="G488" t="s">
        <v>218</v>
      </c>
      <c r="H488" t="s">
        <v>216</v>
      </c>
    </row>
    <row r="489" spans="1:8" x14ac:dyDescent="0.3">
      <c r="A489" s="2"/>
      <c r="B489" s="6">
        <v>46053</v>
      </c>
      <c r="C489" s="3" t="s">
        <v>61</v>
      </c>
      <c r="D489" s="3" t="s">
        <v>251</v>
      </c>
      <c r="E489" s="3" t="s">
        <v>252</v>
      </c>
      <c r="F489" s="7">
        <v>916.66</v>
      </c>
      <c r="G489" t="s">
        <v>217</v>
      </c>
      <c r="H489" t="s">
        <v>216</v>
      </c>
    </row>
    <row r="490" spans="1:8" x14ac:dyDescent="0.3">
      <c r="A490" s="2"/>
      <c r="B490" s="6">
        <v>46053</v>
      </c>
      <c r="C490" s="3" t="s">
        <v>66</v>
      </c>
      <c r="D490" s="3" t="s">
        <v>251</v>
      </c>
      <c r="E490" s="3" t="s">
        <v>252</v>
      </c>
      <c r="F490" s="7">
        <v>18947.849999999999</v>
      </c>
      <c r="G490" t="s">
        <v>219</v>
      </c>
      <c r="H490" t="s">
        <v>216</v>
      </c>
    </row>
    <row r="491" spans="1:8" x14ac:dyDescent="0.3">
      <c r="A491" s="2"/>
      <c r="B491" s="6">
        <v>46053</v>
      </c>
      <c r="C491" s="3" t="s">
        <v>68</v>
      </c>
      <c r="D491" s="3" t="s">
        <v>251</v>
      </c>
      <c r="E491" s="3" t="s">
        <v>252</v>
      </c>
      <c r="F491" s="7">
        <v>7400</v>
      </c>
      <c r="G491" t="s">
        <v>219</v>
      </c>
      <c r="H491" t="s">
        <v>216</v>
      </c>
    </row>
    <row r="492" spans="1:8" x14ac:dyDescent="0.3">
      <c r="A492" s="2"/>
      <c r="B492" s="6">
        <v>46053</v>
      </c>
      <c r="C492" s="3" t="s">
        <v>69</v>
      </c>
      <c r="D492" s="3" t="s">
        <v>251</v>
      </c>
      <c r="E492" s="3" t="s">
        <v>252</v>
      </c>
      <c r="F492" s="7">
        <v>490.55</v>
      </c>
      <c r="G492" t="s">
        <v>219</v>
      </c>
      <c r="H492" t="s">
        <v>216</v>
      </c>
    </row>
    <row r="493" spans="1:8" x14ac:dyDescent="0.3">
      <c r="A493" s="2"/>
      <c r="B493" s="6">
        <v>46053</v>
      </c>
      <c r="C493" s="3" t="s">
        <v>70</v>
      </c>
      <c r="D493" s="3" t="s">
        <v>251</v>
      </c>
      <c r="E493" s="3" t="s">
        <v>252</v>
      </c>
      <c r="F493" s="7">
        <v>2432.5</v>
      </c>
      <c r="G493" t="s">
        <v>219</v>
      </c>
      <c r="H493" t="s">
        <v>216</v>
      </c>
    </row>
    <row r="494" spans="1:8" x14ac:dyDescent="0.3">
      <c r="A494" s="2"/>
      <c r="B494" s="6">
        <v>46053</v>
      </c>
      <c r="C494" s="3" t="s">
        <v>71</v>
      </c>
      <c r="D494" s="3" t="s">
        <v>251</v>
      </c>
      <c r="E494" s="3" t="s">
        <v>252</v>
      </c>
      <c r="F494" s="7">
        <v>1914.95</v>
      </c>
      <c r="G494" t="s">
        <v>219</v>
      </c>
      <c r="H494" t="s">
        <v>216</v>
      </c>
    </row>
    <row r="495" spans="1:8" x14ac:dyDescent="0.3">
      <c r="A495" s="2"/>
      <c r="B495" s="6">
        <v>46053</v>
      </c>
      <c r="C495" s="3" t="s">
        <v>72</v>
      </c>
      <c r="D495" s="3" t="s">
        <v>251</v>
      </c>
      <c r="E495" s="3" t="s">
        <v>252</v>
      </c>
      <c r="F495" s="7">
        <v>1922.5</v>
      </c>
      <c r="G495" t="s">
        <v>219</v>
      </c>
      <c r="H495" t="s">
        <v>216</v>
      </c>
    </row>
    <row r="496" spans="1:8" x14ac:dyDescent="0.3">
      <c r="A496" s="2"/>
      <c r="B496" s="6">
        <v>46053</v>
      </c>
      <c r="C496" s="3" t="s">
        <v>85</v>
      </c>
      <c r="D496" s="3" t="s">
        <v>251</v>
      </c>
      <c r="E496" s="3" t="s">
        <v>491</v>
      </c>
      <c r="F496" s="7">
        <v>763.03</v>
      </c>
      <c r="G496" t="s">
        <v>221</v>
      </c>
      <c r="H496" t="s">
        <v>216</v>
      </c>
    </row>
    <row r="497" spans="1:8" x14ac:dyDescent="0.3">
      <c r="A497" s="2"/>
      <c r="B497" s="6">
        <v>46053</v>
      </c>
      <c r="C497" s="3" t="s">
        <v>86</v>
      </c>
      <c r="D497" s="3" t="s">
        <v>251</v>
      </c>
      <c r="E497" s="3" t="s">
        <v>491</v>
      </c>
      <c r="F497" s="7">
        <v>469.15</v>
      </c>
      <c r="G497" t="s">
        <v>221</v>
      </c>
      <c r="H497" t="s">
        <v>216</v>
      </c>
    </row>
    <row r="498" spans="1:8" x14ac:dyDescent="0.3">
      <c r="A498" s="2"/>
      <c r="B498" s="6">
        <v>46053</v>
      </c>
      <c r="C498" s="3" t="s">
        <v>87</v>
      </c>
      <c r="D498" s="3" t="s">
        <v>251</v>
      </c>
      <c r="E498" s="3" t="s">
        <v>491</v>
      </c>
      <c r="F498" s="7">
        <v>207.68</v>
      </c>
      <c r="G498" t="s">
        <v>221</v>
      </c>
      <c r="H498" t="s">
        <v>216</v>
      </c>
    </row>
    <row r="499" spans="1:8" x14ac:dyDescent="0.3">
      <c r="A499" s="2"/>
      <c r="B499" s="6">
        <v>46053</v>
      </c>
      <c r="C499" s="3" t="s">
        <v>92</v>
      </c>
      <c r="D499" s="3" t="s">
        <v>251</v>
      </c>
      <c r="E499" s="3" t="s">
        <v>252</v>
      </c>
      <c r="F499" s="7">
        <v>260</v>
      </c>
      <c r="G499" t="s">
        <v>222</v>
      </c>
      <c r="H499" t="s">
        <v>216</v>
      </c>
    </row>
    <row r="500" spans="1:8" x14ac:dyDescent="0.3">
      <c r="A500" s="2"/>
      <c r="B500" s="6">
        <v>46053</v>
      </c>
      <c r="C500" s="3" t="s">
        <v>99</v>
      </c>
      <c r="D500" s="3" t="s">
        <v>251</v>
      </c>
      <c r="E500" s="3" t="s">
        <v>252</v>
      </c>
      <c r="F500" s="7">
        <v>1530.78</v>
      </c>
      <c r="G500" t="s">
        <v>126</v>
      </c>
      <c r="H500" t="s">
        <v>216</v>
      </c>
    </row>
    <row r="501" spans="1:8" x14ac:dyDescent="0.3">
      <c r="A501" s="2"/>
      <c r="B501" s="6">
        <v>46053</v>
      </c>
      <c r="C501" s="3" t="s">
        <v>99</v>
      </c>
      <c r="D501" s="3" t="s">
        <v>251</v>
      </c>
      <c r="E501" s="3" t="s">
        <v>491</v>
      </c>
      <c r="F501" s="7">
        <v>-131.79</v>
      </c>
      <c r="G501" t="s">
        <v>126</v>
      </c>
      <c r="H501" t="s">
        <v>216</v>
      </c>
    </row>
    <row r="502" spans="1:8" x14ac:dyDescent="0.3">
      <c r="A502" s="2"/>
      <c r="B502" s="6">
        <v>46053</v>
      </c>
      <c r="C502" s="3" t="s">
        <v>101</v>
      </c>
      <c r="D502" s="3" t="s">
        <v>251</v>
      </c>
      <c r="E502" s="3" t="s">
        <v>252</v>
      </c>
      <c r="F502" s="7">
        <v>796.35</v>
      </c>
      <c r="G502" t="s">
        <v>217</v>
      </c>
      <c r="H502" t="s">
        <v>216</v>
      </c>
    </row>
    <row r="503" spans="1:8" x14ac:dyDescent="0.3">
      <c r="A503" s="2"/>
      <c r="B503" s="6">
        <v>46053</v>
      </c>
      <c r="C503" s="3" t="s">
        <v>101</v>
      </c>
      <c r="D503" s="3" t="s">
        <v>251</v>
      </c>
      <c r="E503" s="3" t="s">
        <v>491</v>
      </c>
      <c r="F503" s="7">
        <v>25</v>
      </c>
      <c r="G503" t="s">
        <v>217</v>
      </c>
      <c r="H503" t="s">
        <v>216</v>
      </c>
    </row>
    <row r="504" spans="1:8" x14ac:dyDescent="0.3">
      <c r="A504" s="2"/>
      <c r="B504" s="6">
        <v>46053</v>
      </c>
      <c r="C504" s="3" t="s">
        <v>110</v>
      </c>
      <c r="D504" s="3" t="s">
        <v>251</v>
      </c>
      <c r="E504" s="3" t="s">
        <v>252</v>
      </c>
      <c r="F504" s="7">
        <v>8.0500000000000007</v>
      </c>
      <c r="G504" t="s">
        <v>217</v>
      </c>
      <c r="H504" t="s">
        <v>216</v>
      </c>
    </row>
    <row r="505" spans="1:8" x14ac:dyDescent="0.3">
      <c r="A505" s="2"/>
      <c r="B505" s="6">
        <v>46053</v>
      </c>
      <c r="C505" s="3" t="s">
        <v>113</v>
      </c>
      <c r="D505" s="3" t="s">
        <v>251</v>
      </c>
      <c r="E505" s="3" t="s">
        <v>252</v>
      </c>
      <c r="F505" s="7">
        <v>713.61</v>
      </c>
      <c r="G505" t="s">
        <v>223</v>
      </c>
      <c r="H505" t="s">
        <v>216</v>
      </c>
    </row>
    <row r="506" spans="1:8" x14ac:dyDescent="0.3">
      <c r="A506" s="2"/>
      <c r="B506" s="6">
        <v>46053</v>
      </c>
      <c r="C506" s="3" t="s">
        <v>123</v>
      </c>
      <c r="D506" s="3" t="s">
        <v>251</v>
      </c>
      <c r="E506" s="3" t="s">
        <v>252</v>
      </c>
      <c r="F506" s="7">
        <v>67.87</v>
      </c>
      <c r="G506" t="s">
        <v>226</v>
      </c>
      <c r="H506" t="s">
        <v>216</v>
      </c>
    </row>
    <row r="507" spans="1:8" x14ac:dyDescent="0.3">
      <c r="A507" s="2"/>
      <c r="B507" s="6">
        <v>46081</v>
      </c>
      <c r="C507" s="3" t="s">
        <v>551</v>
      </c>
      <c r="D507" s="3" t="s">
        <v>34</v>
      </c>
      <c r="E507" s="3" t="s">
        <v>492</v>
      </c>
      <c r="F507" s="7">
        <v>112214.22</v>
      </c>
      <c r="G507" t="s">
        <v>492</v>
      </c>
      <c r="H507" t="s">
        <v>208</v>
      </c>
    </row>
    <row r="508" spans="1:8" x14ac:dyDescent="0.3">
      <c r="A508" s="2"/>
      <c r="B508" s="6">
        <v>46081</v>
      </c>
      <c r="C508" s="3" t="s">
        <v>560</v>
      </c>
      <c r="D508" s="3" t="s">
        <v>34</v>
      </c>
      <c r="E508" s="3" t="s">
        <v>491</v>
      </c>
      <c r="F508" s="7">
        <v>15718.04</v>
      </c>
      <c r="G508" t="s">
        <v>491</v>
      </c>
      <c r="H508" t="s">
        <v>208</v>
      </c>
    </row>
    <row r="509" spans="1:8" x14ac:dyDescent="0.3">
      <c r="A509" s="2"/>
      <c r="B509" s="6">
        <v>46081</v>
      </c>
      <c r="C509" s="3" t="s">
        <v>561</v>
      </c>
      <c r="D509" s="3" t="s">
        <v>34</v>
      </c>
      <c r="E509" s="3" t="s">
        <v>491</v>
      </c>
      <c r="F509" s="7">
        <v>21199.19</v>
      </c>
      <c r="G509" t="s">
        <v>491</v>
      </c>
      <c r="H509" t="s">
        <v>208</v>
      </c>
    </row>
    <row r="510" spans="1:8" x14ac:dyDescent="0.3">
      <c r="A510" s="2"/>
      <c r="B510" s="6">
        <v>46081</v>
      </c>
      <c r="C510" s="3" t="s">
        <v>552</v>
      </c>
      <c r="D510" s="3" t="s">
        <v>37</v>
      </c>
      <c r="E510" s="3" t="s">
        <v>491</v>
      </c>
      <c r="F510" s="7">
        <v>4034.49</v>
      </c>
      <c r="G510" t="s">
        <v>550</v>
      </c>
      <c r="H510" t="s">
        <v>211</v>
      </c>
    </row>
    <row r="511" spans="1:8" x14ac:dyDescent="0.3">
      <c r="A511" s="2"/>
      <c r="B511" s="6">
        <v>46081</v>
      </c>
      <c r="C511" s="3" t="s">
        <v>552</v>
      </c>
      <c r="D511" s="3" t="s">
        <v>37</v>
      </c>
      <c r="E511" s="3" t="s">
        <v>492</v>
      </c>
      <c r="F511" s="7">
        <v>800</v>
      </c>
      <c r="G511" t="s">
        <v>550</v>
      </c>
      <c r="H511" t="s">
        <v>211</v>
      </c>
    </row>
    <row r="512" spans="1:8" x14ac:dyDescent="0.3">
      <c r="A512" s="2"/>
      <c r="B512" s="6">
        <v>46081</v>
      </c>
      <c r="C512" s="3" t="s">
        <v>39</v>
      </c>
      <c r="D512" s="3" t="s">
        <v>37</v>
      </c>
      <c r="E512" s="3" t="s">
        <v>491</v>
      </c>
      <c r="F512" s="7">
        <v>18066.080000000002</v>
      </c>
      <c r="G512" t="s">
        <v>212</v>
      </c>
      <c r="H512" t="s">
        <v>211</v>
      </c>
    </row>
    <row r="513" spans="1:8" x14ac:dyDescent="0.3">
      <c r="A513" s="2"/>
      <c r="B513" s="6">
        <v>46081</v>
      </c>
      <c r="C513" s="3" t="s">
        <v>39</v>
      </c>
      <c r="D513" s="3" t="s">
        <v>37</v>
      </c>
      <c r="E513" s="3" t="s">
        <v>492</v>
      </c>
      <c r="F513" s="7">
        <v>10464.5</v>
      </c>
      <c r="G513" t="s">
        <v>212</v>
      </c>
      <c r="H513" t="s">
        <v>211</v>
      </c>
    </row>
    <row r="514" spans="1:8" x14ac:dyDescent="0.3">
      <c r="A514" s="2"/>
      <c r="B514" s="6">
        <v>46081</v>
      </c>
      <c r="C514" s="3" t="s">
        <v>40</v>
      </c>
      <c r="D514" s="3" t="s">
        <v>37</v>
      </c>
      <c r="E514" s="3" t="s">
        <v>491</v>
      </c>
      <c r="F514" s="7">
        <v>8852.86</v>
      </c>
      <c r="G514" t="s">
        <v>212</v>
      </c>
      <c r="H514" t="s">
        <v>211</v>
      </c>
    </row>
    <row r="515" spans="1:8" x14ac:dyDescent="0.3">
      <c r="A515" s="2"/>
      <c r="B515" s="6">
        <v>46081</v>
      </c>
      <c r="C515" s="3" t="s">
        <v>40</v>
      </c>
      <c r="D515" s="3" t="s">
        <v>37</v>
      </c>
      <c r="E515" s="3" t="s">
        <v>492</v>
      </c>
      <c r="F515" s="7">
        <v>2884.62</v>
      </c>
      <c r="G515" t="s">
        <v>212</v>
      </c>
      <c r="H515" t="s">
        <v>211</v>
      </c>
    </row>
    <row r="516" spans="1:8" x14ac:dyDescent="0.3">
      <c r="A516" s="2"/>
      <c r="B516" s="6">
        <v>46081</v>
      </c>
      <c r="C516" s="3" t="s">
        <v>543</v>
      </c>
      <c r="D516" s="3" t="s">
        <v>37</v>
      </c>
      <c r="E516" s="3" t="s">
        <v>492</v>
      </c>
      <c r="F516" s="7">
        <v>2019.89</v>
      </c>
      <c r="G516" t="s">
        <v>212</v>
      </c>
      <c r="H516" t="s">
        <v>211</v>
      </c>
    </row>
    <row r="517" spans="1:8" x14ac:dyDescent="0.3">
      <c r="A517" s="2"/>
      <c r="B517" s="6">
        <v>46081</v>
      </c>
      <c r="C517" s="3" t="s">
        <v>543</v>
      </c>
      <c r="D517" s="3" t="s">
        <v>37</v>
      </c>
      <c r="E517" s="3" t="s">
        <v>491</v>
      </c>
      <c r="F517" s="7">
        <v>3283.77</v>
      </c>
      <c r="G517" t="s">
        <v>212</v>
      </c>
      <c r="H517" t="s">
        <v>211</v>
      </c>
    </row>
    <row r="518" spans="1:8" x14ac:dyDescent="0.3">
      <c r="A518" s="2"/>
      <c r="B518" s="6">
        <v>46081</v>
      </c>
      <c r="C518" s="3" t="s">
        <v>43</v>
      </c>
      <c r="D518" s="3" t="s">
        <v>37</v>
      </c>
      <c r="E518" s="3" t="s">
        <v>491</v>
      </c>
      <c r="F518" s="7">
        <v>-138.72</v>
      </c>
      <c r="G518" t="s">
        <v>212</v>
      </c>
      <c r="H518" t="s">
        <v>211</v>
      </c>
    </row>
    <row r="519" spans="1:8" x14ac:dyDescent="0.3">
      <c r="A519" s="2"/>
      <c r="B519" s="6">
        <v>46081</v>
      </c>
      <c r="C519" s="3" t="s">
        <v>44</v>
      </c>
      <c r="D519" s="3" t="s">
        <v>37</v>
      </c>
      <c r="E519" s="3" t="s">
        <v>492</v>
      </c>
      <c r="F519" s="7">
        <v>50.38</v>
      </c>
      <c r="G519" t="s">
        <v>212</v>
      </c>
      <c r="H519" t="s">
        <v>211</v>
      </c>
    </row>
    <row r="520" spans="1:8" x14ac:dyDescent="0.3">
      <c r="A520" s="2"/>
      <c r="B520" s="6">
        <v>46081</v>
      </c>
      <c r="C520" s="3" t="s">
        <v>44</v>
      </c>
      <c r="D520" s="3" t="s">
        <v>37</v>
      </c>
      <c r="E520" s="3" t="s">
        <v>491</v>
      </c>
      <c r="F520" s="7">
        <v>80.91</v>
      </c>
      <c r="G520" t="s">
        <v>212</v>
      </c>
      <c r="H520" t="s">
        <v>211</v>
      </c>
    </row>
    <row r="521" spans="1:8" x14ac:dyDescent="0.3">
      <c r="A521" s="2"/>
      <c r="B521" s="6">
        <v>46081</v>
      </c>
      <c r="C521" s="3" t="s">
        <v>45</v>
      </c>
      <c r="D521" s="3" t="s">
        <v>37</v>
      </c>
      <c r="E521" s="3" t="s">
        <v>492</v>
      </c>
      <c r="F521" s="7">
        <v>1029.3800000000001</v>
      </c>
      <c r="G521" t="s">
        <v>212</v>
      </c>
      <c r="H521" t="s">
        <v>211</v>
      </c>
    </row>
    <row r="522" spans="1:8" x14ac:dyDescent="0.3">
      <c r="A522" s="2"/>
      <c r="B522" s="6">
        <v>46081</v>
      </c>
      <c r="C522" s="3" t="s">
        <v>45</v>
      </c>
      <c r="D522" s="3" t="s">
        <v>37</v>
      </c>
      <c r="E522" s="3" t="s">
        <v>491</v>
      </c>
      <c r="F522" s="7">
        <v>2018.45</v>
      </c>
      <c r="G522" t="s">
        <v>212</v>
      </c>
      <c r="H522" t="s">
        <v>211</v>
      </c>
    </row>
    <row r="523" spans="1:8" x14ac:dyDescent="0.3">
      <c r="A523" s="2"/>
      <c r="B523" s="6">
        <v>46081</v>
      </c>
      <c r="C523" s="3" t="s">
        <v>51</v>
      </c>
      <c r="D523" s="3" t="s">
        <v>251</v>
      </c>
      <c r="E523" s="3" t="s">
        <v>252</v>
      </c>
      <c r="F523" s="7">
        <v>23256.92</v>
      </c>
      <c r="G523" t="s">
        <v>218</v>
      </c>
      <c r="H523" t="s">
        <v>216</v>
      </c>
    </row>
    <row r="524" spans="1:8" x14ac:dyDescent="0.3">
      <c r="A524" s="2"/>
      <c r="B524" s="6">
        <v>46081</v>
      </c>
      <c r="C524" s="3" t="s">
        <v>52</v>
      </c>
      <c r="D524" s="3" t="s">
        <v>251</v>
      </c>
      <c r="E524" s="3" t="s">
        <v>252</v>
      </c>
      <c r="F524" s="7">
        <v>11741.85</v>
      </c>
      <c r="G524" t="s">
        <v>218</v>
      </c>
      <c r="H524" t="s">
        <v>216</v>
      </c>
    </row>
    <row r="525" spans="1:8" x14ac:dyDescent="0.3">
      <c r="A525" s="2"/>
      <c r="B525" s="6">
        <v>46081</v>
      </c>
      <c r="C525" s="3" t="s">
        <v>53</v>
      </c>
      <c r="D525" s="3" t="s">
        <v>251</v>
      </c>
      <c r="E525" s="3" t="s">
        <v>252</v>
      </c>
      <c r="F525" s="7">
        <v>16324.58</v>
      </c>
      <c r="G525" t="s">
        <v>218</v>
      </c>
      <c r="H525" t="s">
        <v>216</v>
      </c>
    </row>
    <row r="526" spans="1:8" x14ac:dyDescent="0.3">
      <c r="A526" s="2"/>
      <c r="B526" s="6">
        <v>46081</v>
      </c>
      <c r="C526" s="3" t="s">
        <v>544</v>
      </c>
      <c r="D526" s="3" t="s">
        <v>251</v>
      </c>
      <c r="E526" s="3" t="s">
        <v>252</v>
      </c>
      <c r="F526" s="7">
        <v>2096.3000000000002</v>
      </c>
      <c r="G526" t="s">
        <v>218</v>
      </c>
      <c r="H526" t="s">
        <v>216</v>
      </c>
    </row>
    <row r="527" spans="1:8" x14ac:dyDescent="0.3">
      <c r="A527" s="2"/>
      <c r="B527" s="6">
        <v>46081</v>
      </c>
      <c r="C527" s="3" t="s">
        <v>56</v>
      </c>
      <c r="D527" s="3" t="s">
        <v>251</v>
      </c>
      <c r="E527" s="3" t="s">
        <v>252</v>
      </c>
      <c r="F527" s="7">
        <v>-11.08</v>
      </c>
      <c r="G527" t="s">
        <v>218</v>
      </c>
      <c r="H527" t="s">
        <v>216</v>
      </c>
    </row>
    <row r="528" spans="1:8" x14ac:dyDescent="0.3">
      <c r="A528" s="2"/>
      <c r="B528" s="6">
        <v>46081</v>
      </c>
      <c r="C528" s="3" t="s">
        <v>57</v>
      </c>
      <c r="D528" s="3" t="s">
        <v>251</v>
      </c>
      <c r="E528" s="3" t="s">
        <v>252</v>
      </c>
      <c r="F528" s="7">
        <v>84.4</v>
      </c>
      <c r="G528" t="s">
        <v>218</v>
      </c>
      <c r="H528" t="s">
        <v>216</v>
      </c>
    </row>
    <row r="529" spans="1:8" x14ac:dyDescent="0.3">
      <c r="A529" s="2"/>
      <c r="B529" s="6">
        <v>46081</v>
      </c>
      <c r="C529" s="3" t="s">
        <v>58</v>
      </c>
      <c r="D529" s="3" t="s">
        <v>251</v>
      </c>
      <c r="E529" s="3" t="s">
        <v>252</v>
      </c>
      <c r="F529" s="7">
        <v>2656.69</v>
      </c>
      <c r="G529" t="s">
        <v>218</v>
      </c>
      <c r="H529" t="s">
        <v>216</v>
      </c>
    </row>
    <row r="530" spans="1:8" x14ac:dyDescent="0.3">
      <c r="A530" s="2"/>
      <c r="B530" s="6">
        <v>46081</v>
      </c>
      <c r="C530" s="3" t="s">
        <v>66</v>
      </c>
      <c r="D530" s="3" t="s">
        <v>251</v>
      </c>
      <c r="E530" s="3" t="s">
        <v>252</v>
      </c>
      <c r="F530" s="7">
        <v>1225</v>
      </c>
      <c r="G530" t="s">
        <v>219</v>
      </c>
      <c r="H530" t="s">
        <v>216</v>
      </c>
    </row>
    <row r="531" spans="1:8" x14ac:dyDescent="0.3">
      <c r="A531" s="2"/>
      <c r="B531" s="6">
        <v>46081</v>
      </c>
      <c r="C531" s="3" t="s">
        <v>68</v>
      </c>
      <c r="D531" s="3" t="s">
        <v>251</v>
      </c>
      <c r="E531" s="3" t="s">
        <v>252</v>
      </c>
      <c r="F531" s="7">
        <v>5500</v>
      </c>
      <c r="G531" t="s">
        <v>219</v>
      </c>
      <c r="H531" t="s">
        <v>216</v>
      </c>
    </row>
    <row r="532" spans="1:8" x14ac:dyDescent="0.3">
      <c r="A532" s="2"/>
      <c r="B532" s="6">
        <v>46081</v>
      </c>
      <c r="C532" s="3" t="s">
        <v>69</v>
      </c>
      <c r="D532" s="3" t="s">
        <v>251</v>
      </c>
      <c r="E532" s="3" t="s">
        <v>252</v>
      </c>
      <c r="F532" s="7">
        <v>393.18</v>
      </c>
      <c r="G532" t="s">
        <v>219</v>
      </c>
      <c r="H532" t="s">
        <v>216</v>
      </c>
    </row>
    <row r="533" spans="1:8" x14ac:dyDescent="0.3">
      <c r="A533" s="2"/>
      <c r="B533" s="6">
        <v>46081</v>
      </c>
      <c r="C533" s="3" t="s">
        <v>70</v>
      </c>
      <c r="D533" s="3" t="s">
        <v>251</v>
      </c>
      <c r="E533" s="3" t="s">
        <v>252</v>
      </c>
      <c r="F533" s="7">
        <v>2245</v>
      </c>
      <c r="G533" t="s">
        <v>219</v>
      </c>
      <c r="H533" t="s">
        <v>216</v>
      </c>
    </row>
    <row r="534" spans="1:8" x14ac:dyDescent="0.3">
      <c r="A534" s="2"/>
      <c r="B534" s="6">
        <v>46081</v>
      </c>
      <c r="C534" s="3" t="s">
        <v>71</v>
      </c>
      <c r="D534" s="3" t="s">
        <v>251</v>
      </c>
      <c r="E534" s="3" t="s">
        <v>252</v>
      </c>
      <c r="F534" s="7">
        <v>2140.25</v>
      </c>
      <c r="G534" t="s">
        <v>219</v>
      </c>
      <c r="H534" t="s">
        <v>216</v>
      </c>
    </row>
    <row r="535" spans="1:8" x14ac:dyDescent="0.3">
      <c r="A535" s="2"/>
      <c r="B535" s="6">
        <v>46081</v>
      </c>
      <c r="C535" s="3" t="s">
        <v>85</v>
      </c>
      <c r="D535" s="3" t="s">
        <v>251</v>
      </c>
      <c r="E535" s="3" t="s">
        <v>491</v>
      </c>
      <c r="F535" s="7">
        <v>1072.21</v>
      </c>
      <c r="G535" t="s">
        <v>221</v>
      </c>
      <c r="H535" t="s">
        <v>216</v>
      </c>
    </row>
    <row r="536" spans="1:8" x14ac:dyDescent="0.3">
      <c r="A536" s="2"/>
      <c r="B536" s="6">
        <v>46081</v>
      </c>
      <c r="C536" s="3" t="s">
        <v>91</v>
      </c>
      <c r="D536" s="3" t="s">
        <v>251</v>
      </c>
      <c r="E536" s="3" t="s">
        <v>252</v>
      </c>
      <c r="F536" s="7">
        <v>1118.3499999999999</v>
      </c>
      <c r="G536" t="s">
        <v>222</v>
      </c>
      <c r="H536" t="s">
        <v>216</v>
      </c>
    </row>
    <row r="537" spans="1:8" x14ac:dyDescent="0.3">
      <c r="A537" s="2"/>
      <c r="B537" s="6">
        <v>46081</v>
      </c>
      <c r="C537" s="3" t="s">
        <v>92</v>
      </c>
      <c r="D537" s="3" t="s">
        <v>251</v>
      </c>
      <c r="E537" s="3" t="s">
        <v>252</v>
      </c>
      <c r="F537" s="7">
        <v>3171</v>
      </c>
      <c r="G537" t="s">
        <v>222</v>
      </c>
      <c r="H537" t="s">
        <v>216</v>
      </c>
    </row>
    <row r="538" spans="1:8" x14ac:dyDescent="0.3">
      <c r="A538" s="2"/>
      <c r="B538" s="6">
        <v>46081</v>
      </c>
      <c r="C538" s="3" t="s">
        <v>94</v>
      </c>
      <c r="D538" s="3" t="s">
        <v>251</v>
      </c>
      <c r="E538" s="3" t="s">
        <v>252</v>
      </c>
      <c r="F538" s="7">
        <v>290.51</v>
      </c>
      <c r="G538" t="s">
        <v>222</v>
      </c>
      <c r="H538" t="s">
        <v>216</v>
      </c>
    </row>
    <row r="539" spans="1:8" x14ac:dyDescent="0.3">
      <c r="A539" s="2"/>
      <c r="B539" s="6">
        <v>46081</v>
      </c>
      <c r="C539" s="3" t="s">
        <v>95</v>
      </c>
      <c r="D539" s="3" t="s">
        <v>251</v>
      </c>
      <c r="E539" s="3" t="s">
        <v>252</v>
      </c>
      <c r="F539" s="7">
        <v>1595</v>
      </c>
      <c r="G539" t="s">
        <v>222</v>
      </c>
      <c r="H539" t="s">
        <v>216</v>
      </c>
    </row>
    <row r="540" spans="1:8" x14ac:dyDescent="0.3">
      <c r="A540" s="2"/>
      <c r="B540" s="6">
        <v>46081</v>
      </c>
      <c r="C540" s="3" t="s">
        <v>99</v>
      </c>
      <c r="D540" s="3" t="s">
        <v>251</v>
      </c>
      <c r="E540" s="3" t="s">
        <v>252</v>
      </c>
      <c r="F540" s="7">
        <v>2843.19</v>
      </c>
      <c r="G540" t="s">
        <v>126</v>
      </c>
      <c r="H540" t="s">
        <v>216</v>
      </c>
    </row>
    <row r="541" spans="1:8" x14ac:dyDescent="0.3">
      <c r="A541" s="2"/>
      <c r="B541" s="6">
        <v>46081</v>
      </c>
      <c r="C541" s="3" t="s">
        <v>99</v>
      </c>
      <c r="D541" s="3" t="s">
        <v>251</v>
      </c>
      <c r="E541" s="3" t="s">
        <v>491</v>
      </c>
      <c r="F541" s="7">
        <v>-131.79</v>
      </c>
      <c r="G541" t="s">
        <v>126</v>
      </c>
      <c r="H541" t="s">
        <v>216</v>
      </c>
    </row>
    <row r="542" spans="1:8" x14ac:dyDescent="0.3">
      <c r="A542" s="2"/>
      <c r="B542" s="6">
        <v>46081</v>
      </c>
      <c r="C542" s="3" t="s">
        <v>101</v>
      </c>
      <c r="D542" s="3" t="s">
        <v>251</v>
      </c>
      <c r="E542" s="3" t="s">
        <v>252</v>
      </c>
      <c r="F542" s="7">
        <v>27.4</v>
      </c>
      <c r="G542" t="s">
        <v>217</v>
      </c>
      <c r="H542" t="s">
        <v>216</v>
      </c>
    </row>
    <row r="543" spans="1:8" x14ac:dyDescent="0.3">
      <c r="A543" s="2"/>
      <c r="B543" s="6">
        <v>46081</v>
      </c>
      <c r="C543" s="3" t="s">
        <v>105</v>
      </c>
      <c r="D543" s="3" t="s">
        <v>251</v>
      </c>
      <c r="E543" s="3" t="s">
        <v>252</v>
      </c>
      <c r="F543" s="7">
        <v>40.86</v>
      </c>
      <c r="G543" t="s">
        <v>217</v>
      </c>
      <c r="H543" t="s">
        <v>216</v>
      </c>
    </row>
    <row r="544" spans="1:8" x14ac:dyDescent="0.3">
      <c r="A544" s="2"/>
      <c r="B544" s="6">
        <v>46081</v>
      </c>
      <c r="C544" s="3" t="s">
        <v>110</v>
      </c>
      <c r="D544" s="3" t="s">
        <v>251</v>
      </c>
      <c r="E544" s="3" t="s">
        <v>252</v>
      </c>
      <c r="F544" s="7">
        <v>36.39</v>
      </c>
      <c r="G544" t="s">
        <v>217</v>
      </c>
      <c r="H544" t="s">
        <v>216</v>
      </c>
    </row>
    <row r="545" spans="1:8" x14ac:dyDescent="0.3">
      <c r="A545" s="2"/>
      <c r="B545" s="6">
        <v>46081</v>
      </c>
      <c r="C545" s="3" t="s">
        <v>110</v>
      </c>
      <c r="D545" s="3" t="s">
        <v>251</v>
      </c>
      <c r="E545" s="3" t="s">
        <v>491</v>
      </c>
      <c r="F545" s="7">
        <v>26.25</v>
      </c>
      <c r="G545" t="s">
        <v>217</v>
      </c>
      <c r="H545" t="s">
        <v>216</v>
      </c>
    </row>
    <row r="546" spans="1:8" x14ac:dyDescent="0.3">
      <c r="A546" s="2"/>
      <c r="B546" s="6">
        <v>46081</v>
      </c>
      <c r="C546" s="3" t="s">
        <v>113</v>
      </c>
      <c r="D546" s="3" t="s">
        <v>251</v>
      </c>
      <c r="E546" s="3" t="s">
        <v>252</v>
      </c>
      <c r="F546" s="7">
        <v>713.61</v>
      </c>
      <c r="G546" t="s">
        <v>223</v>
      </c>
      <c r="H546" t="s">
        <v>216</v>
      </c>
    </row>
    <row r="547" spans="1:8" x14ac:dyDescent="0.3">
      <c r="A547" s="2"/>
      <c r="B547" s="6">
        <v>46112</v>
      </c>
      <c r="C547" s="3" t="s">
        <v>551</v>
      </c>
      <c r="D547" s="3" t="s">
        <v>34</v>
      </c>
      <c r="E547" s="3" t="s">
        <v>492</v>
      </c>
      <c r="F547" s="7">
        <v>81007.69</v>
      </c>
      <c r="G547" t="s">
        <v>492</v>
      </c>
      <c r="H547" t="s">
        <v>208</v>
      </c>
    </row>
    <row r="548" spans="1:8" x14ac:dyDescent="0.3">
      <c r="A548" s="2"/>
      <c r="B548" s="6">
        <v>46112</v>
      </c>
      <c r="C548" s="3" t="s">
        <v>560</v>
      </c>
      <c r="D548" s="3" t="s">
        <v>34</v>
      </c>
      <c r="E548" s="3" t="s">
        <v>491</v>
      </c>
      <c r="F548" s="7">
        <v>40566.449999999997</v>
      </c>
      <c r="G548" t="s">
        <v>491</v>
      </c>
      <c r="H548" t="s">
        <v>208</v>
      </c>
    </row>
    <row r="549" spans="1:8" x14ac:dyDescent="0.3">
      <c r="A549" s="2"/>
      <c r="B549" s="6">
        <v>46112</v>
      </c>
      <c r="C549" s="3" t="s">
        <v>561</v>
      </c>
      <c r="D549" s="3" t="s">
        <v>34</v>
      </c>
      <c r="E549" s="3" t="s">
        <v>491</v>
      </c>
      <c r="F549" s="7">
        <v>9909</v>
      </c>
      <c r="G549" t="s">
        <v>491</v>
      </c>
      <c r="H549" t="s">
        <v>208</v>
      </c>
    </row>
    <row r="550" spans="1:8" x14ac:dyDescent="0.3">
      <c r="A550" s="2"/>
      <c r="B550" s="6">
        <v>46112</v>
      </c>
      <c r="C550" s="3" t="s">
        <v>552</v>
      </c>
      <c r="D550" s="3" t="s">
        <v>37</v>
      </c>
      <c r="E550" s="3" t="s">
        <v>492</v>
      </c>
      <c r="F550" s="7">
        <v>6326.98</v>
      </c>
      <c r="G550" t="s">
        <v>550</v>
      </c>
      <c r="H550" t="s">
        <v>211</v>
      </c>
    </row>
    <row r="551" spans="1:8" x14ac:dyDescent="0.3">
      <c r="A551" s="2"/>
      <c r="B551" s="6">
        <v>46112</v>
      </c>
      <c r="C551" s="3" t="s">
        <v>552</v>
      </c>
      <c r="D551" s="3" t="s">
        <v>37</v>
      </c>
      <c r="E551" s="3" t="s">
        <v>491</v>
      </c>
      <c r="F551" s="7">
        <v>1585.42</v>
      </c>
      <c r="G551" t="s">
        <v>550</v>
      </c>
      <c r="H551" t="s">
        <v>211</v>
      </c>
    </row>
    <row r="552" spans="1:8" x14ac:dyDescent="0.3">
      <c r="A552" s="2"/>
      <c r="B552" s="6">
        <v>46112</v>
      </c>
      <c r="C552" s="3" t="s">
        <v>39</v>
      </c>
      <c r="D552" s="3" t="s">
        <v>37</v>
      </c>
      <c r="E552" s="3" t="s">
        <v>491</v>
      </c>
      <c r="F552" s="7">
        <v>21932.77</v>
      </c>
      <c r="G552" t="s">
        <v>212</v>
      </c>
      <c r="H552" t="s">
        <v>211</v>
      </c>
    </row>
    <row r="553" spans="1:8" x14ac:dyDescent="0.3">
      <c r="A553" s="2"/>
      <c r="B553" s="6">
        <v>46112</v>
      </c>
      <c r="C553" s="3" t="s">
        <v>39</v>
      </c>
      <c r="D553" s="3" t="s">
        <v>37</v>
      </c>
      <c r="E553" s="3" t="s">
        <v>492</v>
      </c>
      <c r="F553" s="7">
        <v>12082.47</v>
      </c>
      <c r="G553" t="s">
        <v>212</v>
      </c>
      <c r="H553" t="s">
        <v>211</v>
      </c>
    </row>
    <row r="554" spans="1:8" x14ac:dyDescent="0.3">
      <c r="A554" s="2"/>
      <c r="B554" s="6">
        <v>46112</v>
      </c>
      <c r="C554" s="3" t="s">
        <v>543</v>
      </c>
      <c r="D554" s="3" t="s">
        <v>37</v>
      </c>
      <c r="E554" s="3" t="s">
        <v>492</v>
      </c>
      <c r="F554" s="7">
        <v>5486.87</v>
      </c>
      <c r="G554" t="s">
        <v>212</v>
      </c>
      <c r="H554" t="s">
        <v>211</v>
      </c>
    </row>
    <row r="555" spans="1:8" x14ac:dyDescent="0.3">
      <c r="A555" s="2"/>
      <c r="B555" s="6">
        <v>46112</v>
      </c>
      <c r="C555" s="3" t="s">
        <v>543</v>
      </c>
      <c r="D555" s="3" t="s">
        <v>37</v>
      </c>
      <c r="E555" s="3" t="s">
        <v>491</v>
      </c>
      <c r="F555" s="7">
        <v>6847.48</v>
      </c>
      <c r="G555" t="s">
        <v>212</v>
      </c>
      <c r="H555" t="s">
        <v>211</v>
      </c>
    </row>
    <row r="556" spans="1:8" x14ac:dyDescent="0.3">
      <c r="A556" s="2"/>
      <c r="B556" s="6">
        <v>46112</v>
      </c>
      <c r="C556" s="3" t="s">
        <v>43</v>
      </c>
      <c r="D556" s="3" t="s">
        <v>37</v>
      </c>
      <c r="E556" s="3" t="s">
        <v>491</v>
      </c>
      <c r="F556" s="7">
        <v>-153.6</v>
      </c>
      <c r="G556" t="s">
        <v>212</v>
      </c>
      <c r="H556" t="s">
        <v>211</v>
      </c>
    </row>
    <row r="557" spans="1:8" x14ac:dyDescent="0.3">
      <c r="A557" s="2"/>
      <c r="B557" s="6">
        <v>46112</v>
      </c>
      <c r="C557" s="3" t="s">
        <v>44</v>
      </c>
      <c r="D557" s="3" t="s">
        <v>37</v>
      </c>
      <c r="E557" s="3" t="s">
        <v>492</v>
      </c>
      <c r="F557" s="7">
        <v>43.44</v>
      </c>
      <c r="G557" t="s">
        <v>212</v>
      </c>
      <c r="H557" t="s">
        <v>211</v>
      </c>
    </row>
    <row r="558" spans="1:8" x14ac:dyDescent="0.3">
      <c r="A558" s="2"/>
      <c r="B558" s="6">
        <v>46112</v>
      </c>
      <c r="C558" s="3" t="s">
        <v>44</v>
      </c>
      <c r="D558" s="3" t="s">
        <v>37</v>
      </c>
      <c r="E558" s="3" t="s">
        <v>491</v>
      </c>
      <c r="F558" s="7">
        <v>68.13</v>
      </c>
      <c r="G558" t="s">
        <v>212</v>
      </c>
      <c r="H558" t="s">
        <v>211</v>
      </c>
    </row>
    <row r="559" spans="1:8" x14ac:dyDescent="0.3">
      <c r="A559" s="2"/>
      <c r="B559" s="6">
        <v>46112</v>
      </c>
      <c r="C559" s="3" t="s">
        <v>45</v>
      </c>
      <c r="D559" s="3" t="s">
        <v>37</v>
      </c>
      <c r="E559" s="3" t="s">
        <v>492</v>
      </c>
      <c r="F559" s="7">
        <v>897.69</v>
      </c>
      <c r="G559" t="s">
        <v>212</v>
      </c>
      <c r="H559" t="s">
        <v>211</v>
      </c>
    </row>
    <row r="560" spans="1:8" x14ac:dyDescent="0.3">
      <c r="A560" s="2"/>
      <c r="B560" s="6">
        <v>46112</v>
      </c>
      <c r="C560" s="3" t="s">
        <v>45</v>
      </c>
      <c r="D560" s="3" t="s">
        <v>37</v>
      </c>
      <c r="E560" s="3" t="s">
        <v>491</v>
      </c>
      <c r="F560" s="7">
        <v>1617.02</v>
      </c>
      <c r="G560" t="s">
        <v>212</v>
      </c>
      <c r="H560" t="s">
        <v>211</v>
      </c>
    </row>
    <row r="561" spans="1:8" x14ac:dyDescent="0.3">
      <c r="A561" s="2"/>
      <c r="B561" s="6">
        <v>46112</v>
      </c>
      <c r="C561" s="3" t="s">
        <v>51</v>
      </c>
      <c r="D561" s="3" t="s">
        <v>251</v>
      </c>
      <c r="E561" s="3" t="s">
        <v>252</v>
      </c>
      <c r="F561" s="7">
        <v>26602.89</v>
      </c>
      <c r="G561" t="s">
        <v>218</v>
      </c>
      <c r="H561" t="s">
        <v>216</v>
      </c>
    </row>
    <row r="562" spans="1:8" x14ac:dyDescent="0.3">
      <c r="A562" s="2"/>
      <c r="B562" s="6">
        <v>46112</v>
      </c>
      <c r="C562" s="3" t="s">
        <v>53</v>
      </c>
      <c r="D562" s="3" t="s">
        <v>251</v>
      </c>
      <c r="E562" s="3" t="s">
        <v>252</v>
      </c>
      <c r="F562" s="7">
        <v>18073.64</v>
      </c>
      <c r="G562" t="s">
        <v>218</v>
      </c>
      <c r="H562" t="s">
        <v>216</v>
      </c>
    </row>
    <row r="563" spans="1:8" x14ac:dyDescent="0.3">
      <c r="A563" s="2"/>
      <c r="B563" s="6">
        <v>46112</v>
      </c>
      <c r="C563" s="3" t="s">
        <v>544</v>
      </c>
      <c r="D563" s="3" t="s">
        <v>251</v>
      </c>
      <c r="E563" s="3" t="s">
        <v>252</v>
      </c>
      <c r="F563" s="7">
        <v>8783.36</v>
      </c>
      <c r="G563" t="s">
        <v>218</v>
      </c>
      <c r="H563" t="s">
        <v>216</v>
      </c>
    </row>
    <row r="564" spans="1:8" x14ac:dyDescent="0.3">
      <c r="A564" s="2"/>
      <c r="B564" s="6">
        <v>46112</v>
      </c>
      <c r="C564" s="3" t="s">
        <v>56</v>
      </c>
      <c r="D564" s="3" t="s">
        <v>251</v>
      </c>
      <c r="E564" s="3" t="s">
        <v>252</v>
      </c>
      <c r="F564" s="7">
        <v>-12.27</v>
      </c>
      <c r="G564" t="s">
        <v>218</v>
      </c>
      <c r="H564" t="s">
        <v>216</v>
      </c>
    </row>
    <row r="565" spans="1:8" x14ac:dyDescent="0.3">
      <c r="A565" s="2"/>
      <c r="B565" s="6">
        <v>46112</v>
      </c>
      <c r="C565" s="3" t="s">
        <v>57</v>
      </c>
      <c r="D565" s="3" t="s">
        <v>251</v>
      </c>
      <c r="E565" s="3" t="s">
        <v>252</v>
      </c>
      <c r="F565" s="7">
        <v>59.21</v>
      </c>
      <c r="G565" t="s">
        <v>218</v>
      </c>
      <c r="H565" t="s">
        <v>216</v>
      </c>
    </row>
    <row r="566" spans="1:8" x14ac:dyDescent="0.3">
      <c r="A566" s="2"/>
      <c r="B566" s="6">
        <v>46112</v>
      </c>
      <c r="C566" s="3" t="s">
        <v>58</v>
      </c>
      <c r="D566" s="3" t="s">
        <v>251</v>
      </c>
      <c r="E566" s="3" t="s">
        <v>252</v>
      </c>
      <c r="F566" s="7">
        <v>1999.42</v>
      </c>
      <c r="G566" t="s">
        <v>218</v>
      </c>
      <c r="H566" t="s">
        <v>216</v>
      </c>
    </row>
    <row r="567" spans="1:8" x14ac:dyDescent="0.3">
      <c r="A567" s="2"/>
      <c r="B567" s="6">
        <v>46112</v>
      </c>
      <c r="C567" s="3" t="s">
        <v>68</v>
      </c>
      <c r="D567" s="3" t="s">
        <v>251</v>
      </c>
      <c r="E567" s="3" t="s">
        <v>252</v>
      </c>
      <c r="F567" s="7">
        <v>8800</v>
      </c>
      <c r="G567" t="s">
        <v>219</v>
      </c>
      <c r="H567" t="s">
        <v>216</v>
      </c>
    </row>
    <row r="568" spans="1:8" x14ac:dyDescent="0.3">
      <c r="A568" s="2"/>
      <c r="B568" s="6">
        <v>46112</v>
      </c>
      <c r="C568" s="3" t="s">
        <v>70</v>
      </c>
      <c r="D568" s="3" t="s">
        <v>251</v>
      </c>
      <c r="E568" s="3" t="s">
        <v>252</v>
      </c>
      <c r="F568" s="7">
        <v>2697.9</v>
      </c>
      <c r="G568" t="s">
        <v>219</v>
      </c>
      <c r="H568" t="s">
        <v>216</v>
      </c>
    </row>
    <row r="569" spans="1:8" x14ac:dyDescent="0.3">
      <c r="A569" s="2"/>
      <c r="B569" s="6">
        <v>46112</v>
      </c>
      <c r="C569" s="3" t="s">
        <v>71</v>
      </c>
      <c r="D569" s="3" t="s">
        <v>251</v>
      </c>
      <c r="E569" s="3" t="s">
        <v>252</v>
      </c>
      <c r="F569" s="7">
        <v>1887.8</v>
      </c>
      <c r="G569" t="s">
        <v>219</v>
      </c>
      <c r="H569" t="s">
        <v>216</v>
      </c>
    </row>
    <row r="570" spans="1:8" x14ac:dyDescent="0.3">
      <c r="A570" s="2"/>
      <c r="B570" s="6">
        <v>46112</v>
      </c>
      <c r="C570" s="3" t="s">
        <v>78</v>
      </c>
      <c r="D570" s="3" t="s">
        <v>251</v>
      </c>
      <c r="E570" s="3" t="s">
        <v>252</v>
      </c>
      <c r="F570" s="7">
        <v>28.88</v>
      </c>
      <c r="G570" t="s">
        <v>220</v>
      </c>
      <c r="H570" t="s">
        <v>216</v>
      </c>
    </row>
    <row r="571" spans="1:8" x14ac:dyDescent="0.3">
      <c r="A571" s="2"/>
      <c r="B571" s="6">
        <v>46112</v>
      </c>
      <c r="C571" s="3" t="s">
        <v>85</v>
      </c>
      <c r="D571" s="3" t="s">
        <v>251</v>
      </c>
      <c r="E571" s="3" t="s">
        <v>491</v>
      </c>
      <c r="F571" s="7">
        <v>373.04</v>
      </c>
      <c r="G571" t="s">
        <v>221</v>
      </c>
      <c r="H571" t="s">
        <v>216</v>
      </c>
    </row>
    <row r="572" spans="1:8" x14ac:dyDescent="0.3">
      <c r="A572" s="2"/>
      <c r="B572" s="6">
        <v>46112</v>
      </c>
      <c r="C572" s="3" t="s">
        <v>86</v>
      </c>
      <c r="D572" s="3" t="s">
        <v>251</v>
      </c>
      <c r="E572" s="3" t="s">
        <v>252</v>
      </c>
      <c r="F572" s="7">
        <v>22.12</v>
      </c>
      <c r="G572" t="s">
        <v>221</v>
      </c>
      <c r="H572" t="s">
        <v>216</v>
      </c>
    </row>
    <row r="573" spans="1:8" x14ac:dyDescent="0.3">
      <c r="A573" s="2"/>
      <c r="B573" s="6">
        <v>46112</v>
      </c>
      <c r="C573" s="3" t="s">
        <v>86</v>
      </c>
      <c r="D573" s="3" t="s">
        <v>251</v>
      </c>
      <c r="E573" s="3" t="s">
        <v>491</v>
      </c>
      <c r="F573" s="7">
        <v>260.72000000000003</v>
      </c>
      <c r="G573" t="s">
        <v>221</v>
      </c>
      <c r="H573" t="s">
        <v>216</v>
      </c>
    </row>
    <row r="574" spans="1:8" x14ac:dyDescent="0.3">
      <c r="A574" s="2"/>
      <c r="B574" s="6">
        <v>46112</v>
      </c>
      <c r="C574" s="3" t="s">
        <v>87</v>
      </c>
      <c r="D574" s="3" t="s">
        <v>251</v>
      </c>
      <c r="E574" s="3" t="s">
        <v>491</v>
      </c>
      <c r="F574" s="7">
        <v>41.5</v>
      </c>
      <c r="G574" t="s">
        <v>221</v>
      </c>
      <c r="H574" t="s">
        <v>216</v>
      </c>
    </row>
    <row r="575" spans="1:8" x14ac:dyDescent="0.3">
      <c r="A575" s="2"/>
      <c r="B575" s="6">
        <v>46112</v>
      </c>
      <c r="C575" s="3" t="s">
        <v>91</v>
      </c>
      <c r="D575" s="3" t="s">
        <v>251</v>
      </c>
      <c r="E575" s="3" t="s">
        <v>252</v>
      </c>
      <c r="F575" s="7">
        <v>907.7</v>
      </c>
      <c r="G575" t="s">
        <v>222</v>
      </c>
      <c r="H575" t="s">
        <v>216</v>
      </c>
    </row>
    <row r="576" spans="1:8" x14ac:dyDescent="0.3">
      <c r="A576" s="2"/>
      <c r="B576" s="6">
        <v>46112</v>
      </c>
      <c r="C576" s="3" t="s">
        <v>92</v>
      </c>
      <c r="D576" s="3" t="s">
        <v>251</v>
      </c>
      <c r="E576" s="3" t="s">
        <v>252</v>
      </c>
      <c r="F576" s="7">
        <v>587.16</v>
      </c>
      <c r="G576" t="s">
        <v>222</v>
      </c>
      <c r="H576" t="s">
        <v>216</v>
      </c>
    </row>
    <row r="577" spans="1:8" x14ac:dyDescent="0.3">
      <c r="A577" s="2"/>
      <c r="B577" s="6">
        <v>46112</v>
      </c>
      <c r="C577" s="3" t="s">
        <v>93</v>
      </c>
      <c r="D577" s="3" t="s">
        <v>251</v>
      </c>
      <c r="E577" s="3" t="s">
        <v>252</v>
      </c>
      <c r="F577" s="7">
        <v>526.75</v>
      </c>
      <c r="G577" t="s">
        <v>222</v>
      </c>
      <c r="H577" t="s">
        <v>216</v>
      </c>
    </row>
    <row r="578" spans="1:8" x14ac:dyDescent="0.3">
      <c r="A578" s="2"/>
      <c r="B578" s="6">
        <v>46112</v>
      </c>
      <c r="C578" s="3" t="s">
        <v>94</v>
      </c>
      <c r="D578" s="3" t="s">
        <v>251</v>
      </c>
      <c r="E578" s="3" t="s">
        <v>252</v>
      </c>
      <c r="F578" s="7">
        <v>211.62</v>
      </c>
      <c r="G578" t="s">
        <v>222</v>
      </c>
      <c r="H578" t="s">
        <v>216</v>
      </c>
    </row>
    <row r="579" spans="1:8" x14ac:dyDescent="0.3">
      <c r="A579" s="2"/>
      <c r="B579" s="6">
        <v>46112</v>
      </c>
      <c r="C579" s="3" t="s">
        <v>95</v>
      </c>
      <c r="D579" s="3" t="s">
        <v>251</v>
      </c>
      <c r="E579" s="3" t="s">
        <v>252</v>
      </c>
      <c r="F579" s="7">
        <v>2170</v>
      </c>
      <c r="G579" t="s">
        <v>222</v>
      </c>
      <c r="H579" t="s">
        <v>216</v>
      </c>
    </row>
    <row r="580" spans="1:8" x14ac:dyDescent="0.3">
      <c r="A580" s="2"/>
      <c r="B580" s="6">
        <v>46112</v>
      </c>
      <c r="C580" s="3" t="s">
        <v>99</v>
      </c>
      <c r="D580" s="3" t="s">
        <v>251</v>
      </c>
      <c r="E580" s="3" t="s">
        <v>252</v>
      </c>
      <c r="F580" s="7">
        <v>2605.5</v>
      </c>
      <c r="G580" t="s">
        <v>126</v>
      </c>
      <c r="H580" t="s">
        <v>216</v>
      </c>
    </row>
    <row r="581" spans="1:8" x14ac:dyDescent="0.3">
      <c r="A581" s="2"/>
      <c r="B581" s="6">
        <v>46112</v>
      </c>
      <c r="C581" s="3" t="s">
        <v>99</v>
      </c>
      <c r="D581" s="3" t="s">
        <v>251</v>
      </c>
      <c r="E581" s="3" t="s">
        <v>491</v>
      </c>
      <c r="F581" s="7">
        <v>-115.31</v>
      </c>
      <c r="G581" t="s">
        <v>126</v>
      </c>
      <c r="H581" t="s">
        <v>216</v>
      </c>
    </row>
    <row r="582" spans="1:8" x14ac:dyDescent="0.3">
      <c r="A582" s="2"/>
      <c r="B582" s="6">
        <v>46112</v>
      </c>
      <c r="C582" s="3" t="s">
        <v>100</v>
      </c>
      <c r="D582" s="3" t="s">
        <v>251</v>
      </c>
      <c r="E582" s="3" t="s">
        <v>252</v>
      </c>
      <c r="F582" s="7">
        <v>49.95</v>
      </c>
      <c r="G582" t="s">
        <v>217</v>
      </c>
      <c r="H582" t="s">
        <v>216</v>
      </c>
    </row>
    <row r="583" spans="1:8" x14ac:dyDescent="0.3">
      <c r="A583" s="2"/>
      <c r="B583" s="6">
        <v>46112</v>
      </c>
      <c r="C583" s="3" t="s">
        <v>101</v>
      </c>
      <c r="D583" s="3" t="s">
        <v>251</v>
      </c>
      <c r="E583" s="3" t="s">
        <v>252</v>
      </c>
      <c r="F583" s="7">
        <v>25.75</v>
      </c>
      <c r="G583" t="s">
        <v>217</v>
      </c>
      <c r="H583" t="s">
        <v>216</v>
      </c>
    </row>
    <row r="584" spans="1:8" x14ac:dyDescent="0.3">
      <c r="A584" s="2"/>
      <c r="B584" s="6">
        <v>46112</v>
      </c>
      <c r="C584" s="3" t="s">
        <v>103</v>
      </c>
      <c r="D584" s="3" t="s">
        <v>251</v>
      </c>
      <c r="E584" s="3" t="s">
        <v>252</v>
      </c>
      <c r="F584" s="7">
        <v>180</v>
      </c>
      <c r="G584" t="s">
        <v>217</v>
      </c>
      <c r="H584" t="s">
        <v>216</v>
      </c>
    </row>
    <row r="585" spans="1:8" x14ac:dyDescent="0.3">
      <c r="A585" s="2"/>
      <c r="B585" s="6">
        <v>46112</v>
      </c>
      <c r="C585" s="3" t="s">
        <v>103</v>
      </c>
      <c r="D585" s="3" t="s">
        <v>251</v>
      </c>
      <c r="E585" s="3" t="s">
        <v>491</v>
      </c>
      <c r="F585" s="7">
        <v>320</v>
      </c>
      <c r="G585" t="s">
        <v>217</v>
      </c>
      <c r="H585" t="s">
        <v>216</v>
      </c>
    </row>
    <row r="586" spans="1:8" x14ac:dyDescent="0.3">
      <c r="A586" s="2"/>
      <c r="B586" s="6">
        <v>46112</v>
      </c>
      <c r="C586" s="3" t="s">
        <v>110</v>
      </c>
      <c r="D586" s="3" t="s">
        <v>251</v>
      </c>
      <c r="E586" s="3" t="s">
        <v>252</v>
      </c>
      <c r="F586" s="7">
        <v>8.0500000000000007</v>
      </c>
      <c r="G586" t="s">
        <v>217</v>
      </c>
      <c r="H586" t="s">
        <v>216</v>
      </c>
    </row>
    <row r="587" spans="1:8" x14ac:dyDescent="0.3">
      <c r="A587" s="2"/>
      <c r="B587" s="6">
        <v>46112</v>
      </c>
      <c r="C587" s="3" t="s">
        <v>110</v>
      </c>
      <c r="D587" s="3" t="s">
        <v>251</v>
      </c>
      <c r="E587" s="3" t="s">
        <v>491</v>
      </c>
      <c r="F587" s="7">
        <v>272.5</v>
      </c>
      <c r="G587" t="s">
        <v>217</v>
      </c>
      <c r="H587" t="s">
        <v>216</v>
      </c>
    </row>
    <row r="588" spans="1:8" x14ac:dyDescent="0.3">
      <c r="A588" s="2"/>
      <c r="B588" s="6">
        <v>46112</v>
      </c>
      <c r="C588" s="3" t="s">
        <v>113</v>
      </c>
      <c r="D588" s="3" t="s">
        <v>251</v>
      </c>
      <c r="E588" s="3" t="s">
        <v>252</v>
      </c>
      <c r="F588" s="7">
        <v>713.61</v>
      </c>
      <c r="G588" t="s">
        <v>223</v>
      </c>
      <c r="H588" t="s">
        <v>216</v>
      </c>
    </row>
    <row r="589" spans="1:8" x14ac:dyDescent="0.3">
      <c r="A589" s="2"/>
      <c r="B589" s="6">
        <v>46112</v>
      </c>
      <c r="C589" s="3" t="s">
        <v>114</v>
      </c>
      <c r="D589" s="3" t="s">
        <v>251</v>
      </c>
      <c r="E589" s="3" t="s">
        <v>252</v>
      </c>
      <c r="F589" s="7">
        <v>755.75</v>
      </c>
      <c r="G589" t="s">
        <v>223</v>
      </c>
      <c r="H589" t="s">
        <v>216</v>
      </c>
    </row>
    <row r="590" spans="1:8" x14ac:dyDescent="0.3">
      <c r="A590" s="2"/>
      <c r="B590" s="6">
        <v>46112</v>
      </c>
      <c r="C590" s="3" t="s">
        <v>124</v>
      </c>
      <c r="D590" s="3" t="s">
        <v>251</v>
      </c>
      <c r="E590" s="3" t="s">
        <v>252</v>
      </c>
      <c r="F590" s="7">
        <v>400</v>
      </c>
      <c r="G590" t="s">
        <v>217</v>
      </c>
      <c r="H590" t="s">
        <v>216</v>
      </c>
    </row>
  </sheetData>
  <autoFilter ref="B5:H590" xr:uid="{00000000-0001-0000-0A00-000000000000}"/>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195"/>
  <sheetViews>
    <sheetView showGridLines="0" workbookViewId="0">
      <pane ySplit="5" topLeftCell="A6" activePane="bottomLeft" state="frozen"/>
      <selection pane="bottomLeft"/>
    </sheetView>
  </sheetViews>
  <sheetFormatPr defaultRowHeight="14.4" x14ac:dyDescent="0.3"/>
  <cols>
    <col min="1" max="1" width="0.6640625" customWidth="1"/>
    <col min="2" max="2" width="14" customWidth="1"/>
    <col min="3" max="3" width="60" customWidth="1"/>
    <col min="4" max="4" width="27" customWidth="1"/>
    <col min="5" max="5" width="24" customWidth="1"/>
    <col min="6" max="6" width="30" customWidth="1"/>
    <col min="7" max="7" width="34" customWidth="1"/>
  </cols>
  <sheetData>
    <row r="1" spans="1:7" x14ac:dyDescent="0.3">
      <c r="A1" s="1" t="s">
        <v>386</v>
      </c>
      <c r="B1" s="2"/>
      <c r="C1" s="2"/>
      <c r="D1" s="2"/>
      <c r="E1" s="2"/>
    </row>
    <row r="2" spans="1:7" x14ac:dyDescent="0.3">
      <c r="A2" s="3" t="s">
        <v>253</v>
      </c>
      <c r="B2" s="2"/>
      <c r="C2" s="2"/>
      <c r="D2" s="2"/>
      <c r="E2" s="2"/>
    </row>
    <row r="3" spans="1:7" x14ac:dyDescent="0.3">
      <c r="A3" s="2"/>
      <c r="B3" s="2"/>
      <c r="C3" s="2"/>
      <c r="D3" s="2"/>
      <c r="E3" s="2"/>
    </row>
    <row r="4" spans="1:7" x14ac:dyDescent="0.3">
      <c r="A4" s="2"/>
      <c r="B4" s="2"/>
      <c r="C4" s="2"/>
      <c r="D4" s="2"/>
      <c r="E4" s="2"/>
    </row>
    <row r="5" spans="1:7" x14ac:dyDescent="0.3">
      <c r="A5" s="2"/>
      <c r="B5" s="4" t="s">
        <v>246</v>
      </c>
      <c r="C5" s="5" t="s">
        <v>247</v>
      </c>
      <c r="D5" s="5" t="s">
        <v>248</v>
      </c>
      <c r="E5" s="5" t="s">
        <v>250</v>
      </c>
      <c r="F5" s="36" t="s">
        <v>447</v>
      </c>
      <c r="G5" s="36" t="s">
        <v>448</v>
      </c>
    </row>
    <row r="6" spans="1:7" x14ac:dyDescent="0.3">
      <c r="A6" s="2"/>
      <c r="B6" s="6">
        <v>45688</v>
      </c>
      <c r="C6" s="3" t="s">
        <v>553</v>
      </c>
      <c r="D6" s="3" t="s">
        <v>254</v>
      </c>
      <c r="E6" s="7">
        <v>-118388.25</v>
      </c>
      <c r="F6" t="s">
        <v>232</v>
      </c>
      <c r="G6" t="s">
        <v>137</v>
      </c>
    </row>
    <row r="7" spans="1:7" x14ac:dyDescent="0.3">
      <c r="A7" s="2"/>
      <c r="B7" s="6">
        <v>45688</v>
      </c>
      <c r="C7" s="3" t="s">
        <v>554</v>
      </c>
      <c r="D7" s="3" t="s">
        <v>254</v>
      </c>
      <c r="E7" s="7">
        <v>4690.55</v>
      </c>
      <c r="F7" t="s">
        <v>232</v>
      </c>
      <c r="G7" t="s">
        <v>137</v>
      </c>
    </row>
    <row r="8" spans="1:7" x14ac:dyDescent="0.3">
      <c r="A8" s="2"/>
      <c r="B8" s="6">
        <v>45688</v>
      </c>
      <c r="C8" s="3" t="s">
        <v>141</v>
      </c>
      <c r="D8" s="3" t="s">
        <v>140</v>
      </c>
      <c r="E8" s="7">
        <v>25951.66</v>
      </c>
      <c r="F8" t="s">
        <v>233</v>
      </c>
      <c r="G8" t="s">
        <v>137</v>
      </c>
    </row>
    <row r="9" spans="1:7" x14ac:dyDescent="0.3">
      <c r="A9" s="2"/>
      <c r="B9" s="6">
        <v>45688</v>
      </c>
      <c r="C9" s="3" t="s">
        <v>562</v>
      </c>
      <c r="D9" s="3" t="s">
        <v>255</v>
      </c>
      <c r="E9" s="7">
        <v>-100</v>
      </c>
      <c r="F9" t="s">
        <v>143</v>
      </c>
      <c r="G9" t="s">
        <v>137</v>
      </c>
    </row>
    <row r="10" spans="1:7" x14ac:dyDescent="0.3">
      <c r="A10" s="2"/>
      <c r="B10" s="6">
        <v>45688</v>
      </c>
      <c r="C10" s="3" t="s">
        <v>163</v>
      </c>
      <c r="D10" s="3" t="s">
        <v>162</v>
      </c>
      <c r="E10" s="7">
        <v>6832.89</v>
      </c>
      <c r="F10" t="s">
        <v>162</v>
      </c>
      <c r="G10" t="s">
        <v>161</v>
      </c>
    </row>
    <row r="11" spans="1:7" x14ac:dyDescent="0.3">
      <c r="A11" s="2"/>
      <c r="B11" s="6">
        <v>45688</v>
      </c>
      <c r="C11" s="3" t="s">
        <v>545</v>
      </c>
      <c r="D11" s="3" t="s">
        <v>256</v>
      </c>
      <c r="E11" s="7">
        <v>3814.15</v>
      </c>
      <c r="F11" t="s">
        <v>162</v>
      </c>
      <c r="G11" t="s">
        <v>161</v>
      </c>
    </row>
    <row r="12" spans="1:7" x14ac:dyDescent="0.3">
      <c r="A12" s="2"/>
      <c r="B12" s="6">
        <v>45688</v>
      </c>
      <c r="C12" s="3" t="s">
        <v>546</v>
      </c>
      <c r="D12" s="3" t="s">
        <v>256</v>
      </c>
      <c r="E12" s="7">
        <v>1131.44</v>
      </c>
      <c r="F12" t="s">
        <v>162</v>
      </c>
      <c r="G12" t="s">
        <v>161</v>
      </c>
    </row>
    <row r="13" spans="1:7" x14ac:dyDescent="0.3">
      <c r="A13" s="2"/>
      <c r="B13" s="6">
        <v>45688</v>
      </c>
      <c r="C13" s="3" t="s">
        <v>547</v>
      </c>
      <c r="D13" s="3" t="s">
        <v>256</v>
      </c>
      <c r="E13" s="7">
        <v>131.12</v>
      </c>
      <c r="F13" t="s">
        <v>162</v>
      </c>
      <c r="G13" t="s">
        <v>161</v>
      </c>
    </row>
    <row r="14" spans="1:7" x14ac:dyDescent="0.3">
      <c r="A14" s="2"/>
      <c r="B14" s="6">
        <v>45688</v>
      </c>
      <c r="C14" s="3" t="s">
        <v>173</v>
      </c>
      <c r="D14" s="3" t="s">
        <v>257</v>
      </c>
      <c r="E14" s="7">
        <v>25130.63</v>
      </c>
      <c r="F14" t="s">
        <v>237</v>
      </c>
      <c r="G14" t="s">
        <v>161</v>
      </c>
    </row>
    <row r="15" spans="1:7" x14ac:dyDescent="0.3">
      <c r="A15" s="2"/>
      <c r="B15" s="6">
        <v>45688</v>
      </c>
      <c r="C15" s="3" t="s">
        <v>174</v>
      </c>
      <c r="D15" s="3" t="s">
        <v>257</v>
      </c>
      <c r="E15" s="7">
        <v>22000</v>
      </c>
      <c r="F15" t="s">
        <v>167</v>
      </c>
      <c r="G15" t="s">
        <v>161</v>
      </c>
    </row>
    <row r="16" spans="1:7" x14ac:dyDescent="0.3">
      <c r="A16" s="2"/>
      <c r="B16" s="6">
        <v>45688</v>
      </c>
      <c r="C16" s="3" t="s">
        <v>181</v>
      </c>
      <c r="D16" s="3" t="s">
        <v>180</v>
      </c>
      <c r="E16" s="7">
        <v>-2647.01</v>
      </c>
      <c r="F16" t="s">
        <v>240</v>
      </c>
      <c r="G16" t="s">
        <v>180</v>
      </c>
    </row>
    <row r="17" spans="1:7" x14ac:dyDescent="0.3">
      <c r="A17" s="2"/>
      <c r="B17" s="6">
        <v>45688</v>
      </c>
      <c r="C17" s="3" t="s">
        <v>564</v>
      </c>
      <c r="D17" s="3" t="s">
        <v>180</v>
      </c>
      <c r="E17" s="7">
        <v>-520.94000000000005</v>
      </c>
      <c r="F17" t="s">
        <v>240</v>
      </c>
      <c r="G17" t="s">
        <v>180</v>
      </c>
    </row>
    <row r="18" spans="1:7" x14ac:dyDescent="0.3">
      <c r="A18" s="2"/>
      <c r="B18" s="6">
        <v>45688</v>
      </c>
      <c r="C18" s="3" t="s">
        <v>185</v>
      </c>
      <c r="D18" s="3" t="s">
        <v>180</v>
      </c>
      <c r="E18" s="7">
        <v>-60937.93</v>
      </c>
      <c r="F18" t="s">
        <v>240</v>
      </c>
      <c r="G18" t="s">
        <v>180</v>
      </c>
    </row>
    <row r="19" spans="1:7" x14ac:dyDescent="0.3">
      <c r="A19" s="2"/>
      <c r="B19" s="6">
        <v>45688</v>
      </c>
      <c r="C19" s="3" t="s">
        <v>186</v>
      </c>
      <c r="D19" s="3" t="s">
        <v>180</v>
      </c>
      <c r="E19" s="7">
        <v>88.79</v>
      </c>
    </row>
    <row r="20" spans="1:7" x14ac:dyDescent="0.3">
      <c r="A20" s="2"/>
      <c r="B20" s="6">
        <v>45716</v>
      </c>
      <c r="C20" s="3" t="s">
        <v>553</v>
      </c>
      <c r="D20" s="3" t="s">
        <v>254</v>
      </c>
      <c r="E20" s="7">
        <v>-33465.79</v>
      </c>
      <c r="F20" t="s">
        <v>232</v>
      </c>
      <c r="G20" t="s">
        <v>137</v>
      </c>
    </row>
    <row r="21" spans="1:7" x14ac:dyDescent="0.3">
      <c r="A21" s="2"/>
      <c r="B21" s="6">
        <v>45716</v>
      </c>
      <c r="C21" s="3" t="s">
        <v>554</v>
      </c>
      <c r="D21" s="3" t="s">
        <v>254</v>
      </c>
      <c r="E21" s="7">
        <v>0</v>
      </c>
      <c r="F21" t="s">
        <v>232</v>
      </c>
      <c r="G21" t="s">
        <v>137</v>
      </c>
    </row>
    <row r="22" spans="1:7" x14ac:dyDescent="0.3">
      <c r="A22" s="2"/>
      <c r="B22" s="6">
        <v>45716</v>
      </c>
      <c r="C22" s="3" t="s">
        <v>141</v>
      </c>
      <c r="D22" s="3" t="s">
        <v>140</v>
      </c>
      <c r="E22" s="7">
        <v>83119.539999999994</v>
      </c>
      <c r="F22" t="s">
        <v>233</v>
      </c>
      <c r="G22" t="s">
        <v>137</v>
      </c>
    </row>
    <row r="23" spans="1:7" x14ac:dyDescent="0.3">
      <c r="A23" s="2"/>
      <c r="B23" s="6">
        <v>45716</v>
      </c>
      <c r="C23" s="3" t="s">
        <v>562</v>
      </c>
      <c r="D23" s="3" t="s">
        <v>255</v>
      </c>
      <c r="E23" s="7">
        <v>-50</v>
      </c>
      <c r="F23" t="s">
        <v>143</v>
      </c>
      <c r="G23" t="s">
        <v>137</v>
      </c>
    </row>
    <row r="24" spans="1:7" x14ac:dyDescent="0.3">
      <c r="A24" s="2"/>
      <c r="B24" s="6">
        <v>45716</v>
      </c>
      <c r="C24" s="3" t="s">
        <v>163</v>
      </c>
      <c r="D24" s="3" t="s">
        <v>162</v>
      </c>
      <c r="E24" s="7">
        <v>7807.11</v>
      </c>
      <c r="F24" t="s">
        <v>162</v>
      </c>
      <c r="G24" t="s">
        <v>161</v>
      </c>
    </row>
    <row r="25" spans="1:7" x14ac:dyDescent="0.3">
      <c r="A25" s="2"/>
      <c r="B25" s="6">
        <v>45716</v>
      </c>
      <c r="C25" s="3" t="s">
        <v>545</v>
      </c>
      <c r="D25" s="3" t="s">
        <v>256</v>
      </c>
      <c r="E25" s="7">
        <v>826.219999999999</v>
      </c>
      <c r="F25" t="s">
        <v>162</v>
      </c>
      <c r="G25" t="s">
        <v>161</v>
      </c>
    </row>
    <row r="26" spans="1:7" x14ac:dyDescent="0.3">
      <c r="A26" s="2"/>
      <c r="B26" s="6">
        <v>45716</v>
      </c>
      <c r="C26" s="3" t="s">
        <v>546</v>
      </c>
      <c r="D26" s="3" t="s">
        <v>256</v>
      </c>
      <c r="E26" s="7">
        <v>-1131.44</v>
      </c>
      <c r="F26" t="s">
        <v>162</v>
      </c>
      <c r="G26" t="s">
        <v>161</v>
      </c>
    </row>
    <row r="27" spans="1:7" x14ac:dyDescent="0.3">
      <c r="A27" s="2"/>
      <c r="B27" s="6">
        <v>45716</v>
      </c>
      <c r="C27" s="3" t="s">
        <v>547</v>
      </c>
      <c r="D27" s="3" t="s">
        <v>256</v>
      </c>
      <c r="E27" s="7">
        <v>716.43</v>
      </c>
      <c r="F27" t="s">
        <v>162</v>
      </c>
      <c r="G27" t="s">
        <v>161</v>
      </c>
    </row>
    <row r="28" spans="1:7" x14ac:dyDescent="0.3">
      <c r="A28" s="2"/>
      <c r="B28" s="6">
        <v>45716</v>
      </c>
      <c r="C28" s="3" t="s">
        <v>174</v>
      </c>
      <c r="D28" s="3" t="s">
        <v>257</v>
      </c>
      <c r="E28" s="7">
        <v>9750</v>
      </c>
      <c r="F28" t="s">
        <v>167</v>
      </c>
      <c r="G28" t="s">
        <v>161</v>
      </c>
    </row>
    <row r="29" spans="1:7" x14ac:dyDescent="0.3">
      <c r="A29" s="2"/>
      <c r="B29" s="6">
        <v>45716</v>
      </c>
      <c r="C29" s="3" t="s">
        <v>564</v>
      </c>
      <c r="D29" s="3" t="s">
        <v>180</v>
      </c>
      <c r="E29" s="7">
        <v>-413.3</v>
      </c>
      <c r="F29" t="s">
        <v>240</v>
      </c>
      <c r="G29" t="s">
        <v>180</v>
      </c>
    </row>
    <row r="30" spans="1:7" x14ac:dyDescent="0.3">
      <c r="A30" s="2"/>
      <c r="B30" s="6">
        <v>45747</v>
      </c>
      <c r="C30" s="3" t="s">
        <v>553</v>
      </c>
      <c r="D30" s="3" t="s">
        <v>254</v>
      </c>
      <c r="E30" s="7">
        <v>387742.35</v>
      </c>
      <c r="F30" t="s">
        <v>232</v>
      </c>
      <c r="G30" t="s">
        <v>137</v>
      </c>
    </row>
    <row r="31" spans="1:7" x14ac:dyDescent="0.3">
      <c r="A31" s="2"/>
      <c r="B31" s="6">
        <v>45747</v>
      </c>
      <c r="C31" s="3" t="s">
        <v>554</v>
      </c>
      <c r="D31" s="3" t="s">
        <v>254</v>
      </c>
      <c r="E31" s="7">
        <v>0</v>
      </c>
      <c r="F31" t="s">
        <v>232</v>
      </c>
      <c r="G31" t="s">
        <v>137</v>
      </c>
    </row>
    <row r="32" spans="1:7" x14ac:dyDescent="0.3">
      <c r="A32" s="2"/>
      <c r="B32" s="6">
        <v>45747</v>
      </c>
      <c r="C32" s="3" t="s">
        <v>141</v>
      </c>
      <c r="D32" s="3" t="s">
        <v>140</v>
      </c>
      <c r="E32" s="7">
        <v>-18399.709999999901</v>
      </c>
      <c r="F32" t="s">
        <v>233</v>
      </c>
      <c r="G32" t="s">
        <v>137</v>
      </c>
    </row>
    <row r="33" spans="1:7" x14ac:dyDescent="0.3">
      <c r="A33" s="2"/>
      <c r="B33" s="6">
        <v>45747</v>
      </c>
      <c r="C33" s="3" t="s">
        <v>562</v>
      </c>
      <c r="D33" s="3" t="s">
        <v>255</v>
      </c>
      <c r="E33" s="7">
        <v>1100</v>
      </c>
      <c r="F33" t="s">
        <v>143</v>
      </c>
      <c r="G33" t="s">
        <v>137</v>
      </c>
    </row>
    <row r="34" spans="1:7" x14ac:dyDescent="0.3">
      <c r="A34" s="2"/>
      <c r="B34" s="6">
        <v>45747</v>
      </c>
      <c r="C34" s="3" t="s">
        <v>151</v>
      </c>
      <c r="D34" s="3" t="s">
        <v>255</v>
      </c>
      <c r="E34" s="7">
        <v>0</v>
      </c>
      <c r="F34" t="s">
        <v>143</v>
      </c>
      <c r="G34" t="s">
        <v>137</v>
      </c>
    </row>
    <row r="35" spans="1:7" x14ac:dyDescent="0.3">
      <c r="A35" s="2"/>
      <c r="B35" s="6">
        <v>45747</v>
      </c>
      <c r="C35" s="3" t="s">
        <v>163</v>
      </c>
      <c r="D35" s="3" t="s">
        <v>162</v>
      </c>
      <c r="E35" s="7">
        <v>-6509.68</v>
      </c>
      <c r="F35" t="s">
        <v>162</v>
      </c>
      <c r="G35" t="s">
        <v>161</v>
      </c>
    </row>
    <row r="36" spans="1:7" x14ac:dyDescent="0.3">
      <c r="A36" s="2"/>
      <c r="B36" s="6">
        <v>45747</v>
      </c>
      <c r="C36" s="3" t="s">
        <v>545</v>
      </c>
      <c r="D36" s="3" t="s">
        <v>256</v>
      </c>
      <c r="E36" s="7">
        <v>240.07</v>
      </c>
      <c r="F36" t="s">
        <v>162</v>
      </c>
      <c r="G36" t="s">
        <v>161</v>
      </c>
    </row>
    <row r="37" spans="1:7" x14ac:dyDescent="0.3">
      <c r="A37" s="2"/>
      <c r="B37" s="6">
        <v>45747</v>
      </c>
      <c r="C37" s="3" t="s">
        <v>547</v>
      </c>
      <c r="D37" s="3" t="s">
        <v>256</v>
      </c>
      <c r="E37" s="7">
        <v>105.08</v>
      </c>
      <c r="F37" t="s">
        <v>162</v>
      </c>
      <c r="G37" t="s">
        <v>161</v>
      </c>
    </row>
    <row r="38" spans="1:7" x14ac:dyDescent="0.3">
      <c r="A38" s="2"/>
      <c r="B38" s="6">
        <v>45747</v>
      </c>
      <c r="C38" s="3" t="s">
        <v>173</v>
      </c>
      <c r="D38" s="3" t="s">
        <v>257</v>
      </c>
      <c r="E38" s="7">
        <v>294868.37</v>
      </c>
      <c r="F38" t="s">
        <v>237</v>
      </c>
      <c r="G38" t="s">
        <v>161</v>
      </c>
    </row>
    <row r="39" spans="1:7" x14ac:dyDescent="0.3">
      <c r="A39" s="2"/>
      <c r="B39" s="6">
        <v>45747</v>
      </c>
      <c r="C39" s="3" t="s">
        <v>174</v>
      </c>
      <c r="D39" s="3" t="s">
        <v>257</v>
      </c>
      <c r="E39" s="7">
        <v>13125</v>
      </c>
      <c r="F39" t="s">
        <v>167</v>
      </c>
      <c r="G39" t="s">
        <v>161</v>
      </c>
    </row>
    <row r="40" spans="1:7" x14ac:dyDescent="0.3">
      <c r="A40" s="2"/>
      <c r="B40" s="6">
        <v>45747</v>
      </c>
      <c r="C40" s="3" t="s">
        <v>564</v>
      </c>
      <c r="D40" s="3" t="s">
        <v>180</v>
      </c>
      <c r="E40" s="7">
        <v>490.82</v>
      </c>
      <c r="F40" t="s">
        <v>240</v>
      </c>
      <c r="G40" t="s">
        <v>180</v>
      </c>
    </row>
    <row r="41" spans="1:7" x14ac:dyDescent="0.3">
      <c r="A41" s="2"/>
      <c r="B41" s="6">
        <v>45777</v>
      </c>
      <c r="C41" s="3" t="s">
        <v>553</v>
      </c>
      <c r="D41" s="3" t="s">
        <v>254</v>
      </c>
      <c r="E41" s="7">
        <v>-1436.79000000002</v>
      </c>
      <c r="F41" t="s">
        <v>232</v>
      </c>
      <c r="G41" t="s">
        <v>137</v>
      </c>
    </row>
    <row r="42" spans="1:7" x14ac:dyDescent="0.3">
      <c r="A42" s="2"/>
      <c r="B42" s="6">
        <v>45777</v>
      </c>
      <c r="C42" s="3" t="s">
        <v>554</v>
      </c>
      <c r="D42" s="3" t="s">
        <v>254</v>
      </c>
      <c r="E42" s="7">
        <v>-8129.19</v>
      </c>
      <c r="F42" t="s">
        <v>232</v>
      </c>
      <c r="G42" t="s">
        <v>137</v>
      </c>
    </row>
    <row r="43" spans="1:7" x14ac:dyDescent="0.3">
      <c r="A43" s="2"/>
      <c r="B43" s="6">
        <v>45777</v>
      </c>
      <c r="C43" s="3" t="s">
        <v>141</v>
      </c>
      <c r="D43" s="3" t="s">
        <v>140</v>
      </c>
      <c r="E43" s="7">
        <v>43803.360000000001</v>
      </c>
      <c r="F43" t="s">
        <v>233</v>
      </c>
      <c r="G43" t="s">
        <v>137</v>
      </c>
    </row>
    <row r="44" spans="1:7" x14ac:dyDescent="0.3">
      <c r="A44" s="2"/>
      <c r="B44" s="6">
        <v>45777</v>
      </c>
      <c r="C44" s="3" t="s">
        <v>562</v>
      </c>
      <c r="D44" s="3" t="s">
        <v>255</v>
      </c>
      <c r="E44" s="7">
        <v>-3550</v>
      </c>
      <c r="F44" t="s">
        <v>143</v>
      </c>
      <c r="G44" t="s">
        <v>137</v>
      </c>
    </row>
    <row r="45" spans="1:7" x14ac:dyDescent="0.3">
      <c r="A45" s="2"/>
      <c r="B45" s="6">
        <v>45777</v>
      </c>
      <c r="C45" s="3" t="s">
        <v>150</v>
      </c>
      <c r="D45" s="3" t="s">
        <v>255</v>
      </c>
      <c r="E45" s="7">
        <v>5600</v>
      </c>
      <c r="F45" t="s">
        <v>143</v>
      </c>
      <c r="G45" t="s">
        <v>137</v>
      </c>
    </row>
    <row r="46" spans="1:7" x14ac:dyDescent="0.3">
      <c r="A46" s="2"/>
      <c r="B46" s="6">
        <v>45777</v>
      </c>
      <c r="C46" s="3" t="s">
        <v>151</v>
      </c>
      <c r="D46" s="3" t="s">
        <v>255</v>
      </c>
      <c r="E46" s="7">
        <v>-6612</v>
      </c>
      <c r="F46" t="s">
        <v>143</v>
      </c>
      <c r="G46" t="s">
        <v>137</v>
      </c>
    </row>
    <row r="47" spans="1:7" x14ac:dyDescent="0.3">
      <c r="A47" s="2"/>
      <c r="B47" s="6">
        <v>45777</v>
      </c>
      <c r="C47" s="3" t="s">
        <v>163</v>
      </c>
      <c r="D47" s="3" t="s">
        <v>162</v>
      </c>
      <c r="E47" s="7">
        <v>38837.599999999999</v>
      </c>
      <c r="F47" t="s">
        <v>162</v>
      </c>
      <c r="G47" t="s">
        <v>161</v>
      </c>
    </row>
    <row r="48" spans="1:7" x14ac:dyDescent="0.3">
      <c r="A48" s="2"/>
      <c r="B48" s="6">
        <v>45777</v>
      </c>
      <c r="C48" s="3" t="s">
        <v>545</v>
      </c>
      <c r="D48" s="3" t="s">
        <v>256</v>
      </c>
      <c r="E48" s="7">
        <v>106.12</v>
      </c>
      <c r="F48" t="s">
        <v>162</v>
      </c>
      <c r="G48" t="s">
        <v>161</v>
      </c>
    </row>
    <row r="49" spans="1:7" x14ac:dyDescent="0.3">
      <c r="A49" s="2"/>
      <c r="B49" s="6">
        <v>45777</v>
      </c>
      <c r="C49" s="3" t="s">
        <v>547</v>
      </c>
      <c r="D49" s="3" t="s">
        <v>256</v>
      </c>
      <c r="E49" s="7">
        <v>-427.07</v>
      </c>
      <c r="F49" t="s">
        <v>162</v>
      </c>
      <c r="G49" t="s">
        <v>161</v>
      </c>
    </row>
    <row r="50" spans="1:7" x14ac:dyDescent="0.3">
      <c r="A50" s="2"/>
      <c r="B50" s="6">
        <v>45777</v>
      </c>
      <c r="C50" s="3" t="s">
        <v>173</v>
      </c>
      <c r="D50" s="3" t="s">
        <v>257</v>
      </c>
      <c r="E50" s="7">
        <v>-11949.7</v>
      </c>
      <c r="F50" t="s">
        <v>237</v>
      </c>
      <c r="G50" t="s">
        <v>161</v>
      </c>
    </row>
    <row r="51" spans="1:7" x14ac:dyDescent="0.3">
      <c r="A51" s="2"/>
      <c r="B51" s="6">
        <v>45777</v>
      </c>
      <c r="C51" s="3" t="s">
        <v>174</v>
      </c>
      <c r="D51" s="3" t="s">
        <v>257</v>
      </c>
      <c r="E51" s="7">
        <v>-1625</v>
      </c>
      <c r="F51" t="s">
        <v>167</v>
      </c>
      <c r="G51" t="s">
        <v>161</v>
      </c>
    </row>
    <row r="52" spans="1:7" x14ac:dyDescent="0.3">
      <c r="A52" s="2"/>
      <c r="B52" s="6">
        <v>45777</v>
      </c>
      <c r="C52" s="3" t="s">
        <v>564</v>
      </c>
      <c r="D52" s="3" t="s">
        <v>180</v>
      </c>
      <c r="E52" s="7">
        <v>-15.35</v>
      </c>
      <c r="F52" t="s">
        <v>240</v>
      </c>
      <c r="G52" t="s">
        <v>180</v>
      </c>
    </row>
    <row r="53" spans="1:7" x14ac:dyDescent="0.3">
      <c r="A53" s="2"/>
      <c r="B53" s="6">
        <v>45808</v>
      </c>
      <c r="C53" s="3" t="s">
        <v>553</v>
      </c>
      <c r="D53" s="3" t="s">
        <v>254</v>
      </c>
      <c r="E53" s="7">
        <v>16902.09</v>
      </c>
      <c r="F53" t="s">
        <v>232</v>
      </c>
      <c r="G53" t="s">
        <v>137</v>
      </c>
    </row>
    <row r="54" spans="1:7" x14ac:dyDescent="0.3">
      <c r="A54" s="2"/>
      <c r="B54" s="6">
        <v>45808</v>
      </c>
      <c r="C54" s="3" t="s">
        <v>554</v>
      </c>
      <c r="D54" s="3" t="s">
        <v>254</v>
      </c>
      <c r="E54" s="7">
        <v>8129.19</v>
      </c>
      <c r="F54" t="s">
        <v>232</v>
      </c>
      <c r="G54" t="s">
        <v>137</v>
      </c>
    </row>
    <row r="55" spans="1:7" x14ac:dyDescent="0.3">
      <c r="A55" s="2"/>
      <c r="B55" s="6">
        <v>45808</v>
      </c>
      <c r="C55" s="3" t="s">
        <v>141</v>
      </c>
      <c r="D55" s="3" t="s">
        <v>140</v>
      </c>
      <c r="E55" s="7">
        <v>-61805.65</v>
      </c>
      <c r="F55" t="s">
        <v>233</v>
      </c>
      <c r="G55" t="s">
        <v>137</v>
      </c>
    </row>
    <row r="56" spans="1:7" x14ac:dyDescent="0.3">
      <c r="A56" s="2"/>
      <c r="B56" s="6">
        <v>45808</v>
      </c>
      <c r="C56" s="3" t="s">
        <v>562</v>
      </c>
      <c r="D56" s="3" t="s">
        <v>255</v>
      </c>
      <c r="E56" s="7">
        <v>2980</v>
      </c>
      <c r="F56" t="s">
        <v>143</v>
      </c>
      <c r="G56" t="s">
        <v>137</v>
      </c>
    </row>
    <row r="57" spans="1:7" x14ac:dyDescent="0.3">
      <c r="A57" s="2"/>
      <c r="B57" s="6">
        <v>45808</v>
      </c>
      <c r="C57" s="3" t="s">
        <v>150</v>
      </c>
      <c r="D57" s="3" t="s">
        <v>255</v>
      </c>
      <c r="E57" s="7">
        <v>-5600</v>
      </c>
      <c r="F57" t="s">
        <v>143</v>
      </c>
      <c r="G57" t="s">
        <v>137</v>
      </c>
    </row>
    <row r="58" spans="1:7" x14ac:dyDescent="0.3">
      <c r="A58" s="2"/>
      <c r="B58" s="6">
        <v>45808</v>
      </c>
      <c r="C58" s="3" t="s">
        <v>151</v>
      </c>
      <c r="D58" s="3" t="s">
        <v>255</v>
      </c>
      <c r="E58" s="7">
        <v>6612</v>
      </c>
      <c r="F58" t="s">
        <v>143</v>
      </c>
      <c r="G58" t="s">
        <v>137</v>
      </c>
    </row>
    <row r="59" spans="1:7" x14ac:dyDescent="0.3">
      <c r="A59" s="2"/>
      <c r="B59" s="6">
        <v>45808</v>
      </c>
      <c r="C59" s="3" t="s">
        <v>163</v>
      </c>
      <c r="D59" s="3" t="s">
        <v>162</v>
      </c>
      <c r="E59" s="7">
        <v>-41861.760000000002</v>
      </c>
      <c r="F59" t="s">
        <v>162</v>
      </c>
      <c r="G59" t="s">
        <v>161</v>
      </c>
    </row>
    <row r="60" spans="1:7" x14ac:dyDescent="0.3">
      <c r="A60" s="2"/>
      <c r="B60" s="6">
        <v>45808</v>
      </c>
      <c r="C60" s="3" t="s">
        <v>545</v>
      </c>
      <c r="D60" s="3" t="s">
        <v>256</v>
      </c>
      <c r="E60" s="7">
        <v>4315.2299999999996</v>
      </c>
      <c r="F60" t="s">
        <v>162</v>
      </c>
      <c r="G60" t="s">
        <v>161</v>
      </c>
    </row>
    <row r="61" spans="1:7" x14ac:dyDescent="0.3">
      <c r="A61" s="2"/>
      <c r="B61" s="6">
        <v>45808</v>
      </c>
      <c r="C61" s="3" t="s">
        <v>547</v>
      </c>
      <c r="D61" s="3" t="s">
        <v>256</v>
      </c>
      <c r="E61" s="7">
        <v>151.19999999999999</v>
      </c>
      <c r="F61" t="s">
        <v>162</v>
      </c>
      <c r="G61" t="s">
        <v>161</v>
      </c>
    </row>
    <row r="62" spans="1:7" x14ac:dyDescent="0.3">
      <c r="A62" s="2"/>
      <c r="B62" s="6">
        <v>45808</v>
      </c>
      <c r="C62" s="3" t="s">
        <v>173</v>
      </c>
      <c r="D62" s="3" t="s">
        <v>257</v>
      </c>
      <c r="E62" s="7">
        <v>-21688.05</v>
      </c>
      <c r="F62" t="s">
        <v>237</v>
      </c>
      <c r="G62" t="s">
        <v>161</v>
      </c>
    </row>
    <row r="63" spans="1:7" x14ac:dyDescent="0.3">
      <c r="A63" s="2"/>
      <c r="B63" s="6">
        <v>45808</v>
      </c>
      <c r="C63" s="3" t="s">
        <v>174</v>
      </c>
      <c r="D63" s="3" t="s">
        <v>257</v>
      </c>
      <c r="E63" s="7">
        <v>1000</v>
      </c>
      <c r="F63" t="s">
        <v>167</v>
      </c>
      <c r="G63" t="s">
        <v>161</v>
      </c>
    </row>
    <row r="64" spans="1:7" x14ac:dyDescent="0.3">
      <c r="A64" s="2"/>
      <c r="B64" s="6">
        <v>45808</v>
      </c>
      <c r="C64" s="3" t="s">
        <v>564</v>
      </c>
      <c r="D64" s="3" t="s">
        <v>180</v>
      </c>
      <c r="E64" s="7">
        <v>-154.1</v>
      </c>
      <c r="F64" t="s">
        <v>240</v>
      </c>
      <c r="G64" t="s">
        <v>180</v>
      </c>
    </row>
    <row r="65" spans="1:7" x14ac:dyDescent="0.3">
      <c r="A65" s="2"/>
      <c r="B65" s="6">
        <v>45838</v>
      </c>
      <c r="C65" s="3" t="s">
        <v>553</v>
      </c>
      <c r="D65" s="3" t="s">
        <v>254</v>
      </c>
      <c r="E65" s="7">
        <v>-3852.5499999999702</v>
      </c>
      <c r="F65" t="s">
        <v>232</v>
      </c>
      <c r="G65" t="s">
        <v>137</v>
      </c>
    </row>
    <row r="66" spans="1:7" x14ac:dyDescent="0.3">
      <c r="A66" s="2"/>
      <c r="B66" s="6">
        <v>45838</v>
      </c>
      <c r="C66" s="3" t="s">
        <v>554</v>
      </c>
      <c r="D66" s="3" t="s">
        <v>254</v>
      </c>
      <c r="E66" s="7">
        <v>0</v>
      </c>
      <c r="F66" t="s">
        <v>232</v>
      </c>
      <c r="G66" t="s">
        <v>137</v>
      </c>
    </row>
    <row r="67" spans="1:7" x14ac:dyDescent="0.3">
      <c r="A67" s="2"/>
      <c r="B67" s="6">
        <v>45838</v>
      </c>
      <c r="C67" s="3" t="s">
        <v>141</v>
      </c>
      <c r="D67" s="3" t="s">
        <v>140</v>
      </c>
      <c r="E67" s="7">
        <v>1072.0899999999999</v>
      </c>
      <c r="F67" t="s">
        <v>233</v>
      </c>
      <c r="G67" t="s">
        <v>137</v>
      </c>
    </row>
    <row r="68" spans="1:7" x14ac:dyDescent="0.3">
      <c r="A68" s="2"/>
      <c r="B68" s="6">
        <v>45838</v>
      </c>
      <c r="C68" s="3" t="s">
        <v>562</v>
      </c>
      <c r="D68" s="3" t="s">
        <v>255</v>
      </c>
      <c r="E68" s="7">
        <v>-740</v>
      </c>
      <c r="F68" t="s">
        <v>143</v>
      </c>
      <c r="G68" t="s">
        <v>137</v>
      </c>
    </row>
    <row r="69" spans="1:7" x14ac:dyDescent="0.3">
      <c r="A69" s="2"/>
      <c r="B69" s="6">
        <v>45838</v>
      </c>
      <c r="C69" s="3" t="s">
        <v>163</v>
      </c>
      <c r="D69" s="3" t="s">
        <v>162</v>
      </c>
      <c r="E69" s="7">
        <v>1597.76</v>
      </c>
      <c r="F69" t="s">
        <v>162</v>
      </c>
      <c r="G69" t="s">
        <v>161</v>
      </c>
    </row>
    <row r="70" spans="1:7" x14ac:dyDescent="0.3">
      <c r="A70" s="2"/>
      <c r="B70" s="6">
        <v>45838</v>
      </c>
      <c r="C70" s="3" t="s">
        <v>545</v>
      </c>
      <c r="D70" s="3" t="s">
        <v>256</v>
      </c>
      <c r="E70" s="7">
        <v>6813.56</v>
      </c>
      <c r="F70" t="s">
        <v>162</v>
      </c>
      <c r="G70" t="s">
        <v>161</v>
      </c>
    </row>
    <row r="71" spans="1:7" x14ac:dyDescent="0.3">
      <c r="A71" s="2"/>
      <c r="B71" s="6">
        <v>45838</v>
      </c>
      <c r="C71" s="3" t="s">
        <v>547</v>
      </c>
      <c r="D71" s="3" t="s">
        <v>256</v>
      </c>
      <c r="E71" s="7">
        <v>189.71</v>
      </c>
      <c r="F71" t="s">
        <v>162</v>
      </c>
      <c r="G71" t="s">
        <v>161</v>
      </c>
    </row>
    <row r="72" spans="1:7" x14ac:dyDescent="0.3">
      <c r="A72" s="2"/>
      <c r="B72" s="6">
        <v>45838</v>
      </c>
      <c r="C72" s="3" t="s">
        <v>173</v>
      </c>
      <c r="D72" s="3" t="s">
        <v>257</v>
      </c>
      <c r="E72" s="7">
        <v>-11074.3</v>
      </c>
      <c r="F72" t="s">
        <v>237</v>
      </c>
      <c r="G72" t="s">
        <v>161</v>
      </c>
    </row>
    <row r="73" spans="1:7" x14ac:dyDescent="0.3">
      <c r="A73" s="2"/>
      <c r="B73" s="6">
        <v>45838</v>
      </c>
      <c r="C73" s="3" t="s">
        <v>174</v>
      </c>
      <c r="D73" s="3" t="s">
        <v>257</v>
      </c>
      <c r="E73" s="7">
        <v>-38750</v>
      </c>
      <c r="F73" t="s">
        <v>167</v>
      </c>
      <c r="G73" t="s">
        <v>161</v>
      </c>
    </row>
    <row r="74" spans="1:7" x14ac:dyDescent="0.3">
      <c r="A74" s="2"/>
      <c r="B74" s="6">
        <v>45838</v>
      </c>
      <c r="C74" s="3" t="s">
        <v>564</v>
      </c>
      <c r="D74" s="3" t="s">
        <v>180</v>
      </c>
      <c r="E74" s="7">
        <v>583.51999999999896</v>
      </c>
      <c r="F74" t="s">
        <v>240</v>
      </c>
      <c r="G74" t="s">
        <v>180</v>
      </c>
    </row>
    <row r="75" spans="1:7" x14ac:dyDescent="0.3">
      <c r="A75" s="2"/>
      <c r="B75" s="6">
        <v>45869</v>
      </c>
      <c r="C75" s="3" t="s">
        <v>553</v>
      </c>
      <c r="D75" s="3" t="s">
        <v>254</v>
      </c>
      <c r="E75" s="7">
        <v>-132728.9</v>
      </c>
      <c r="F75" t="s">
        <v>232</v>
      </c>
      <c r="G75" t="s">
        <v>137</v>
      </c>
    </row>
    <row r="76" spans="1:7" x14ac:dyDescent="0.3">
      <c r="A76" s="2"/>
      <c r="B76" s="6">
        <v>45869</v>
      </c>
      <c r="C76" s="3" t="s">
        <v>554</v>
      </c>
      <c r="D76" s="3" t="s">
        <v>254</v>
      </c>
      <c r="E76" s="7">
        <v>0</v>
      </c>
      <c r="F76" t="s">
        <v>232</v>
      </c>
      <c r="G76" t="s">
        <v>137</v>
      </c>
    </row>
    <row r="77" spans="1:7" x14ac:dyDescent="0.3">
      <c r="A77" s="2"/>
      <c r="B77" s="6">
        <v>45869</v>
      </c>
      <c r="C77" s="3" t="s">
        <v>141</v>
      </c>
      <c r="D77" s="3" t="s">
        <v>140</v>
      </c>
      <c r="E77" s="7">
        <v>-150191.57999999999</v>
      </c>
      <c r="F77" t="s">
        <v>233</v>
      </c>
      <c r="G77" t="s">
        <v>137</v>
      </c>
    </row>
    <row r="78" spans="1:7" x14ac:dyDescent="0.3">
      <c r="A78" s="2"/>
      <c r="B78" s="6">
        <v>45869</v>
      </c>
      <c r="C78" s="3" t="s">
        <v>562</v>
      </c>
      <c r="D78" s="3" t="s">
        <v>255</v>
      </c>
      <c r="E78" s="7">
        <v>-300</v>
      </c>
      <c r="F78" t="s">
        <v>143</v>
      </c>
      <c r="G78" t="s">
        <v>137</v>
      </c>
    </row>
    <row r="79" spans="1:7" x14ac:dyDescent="0.3">
      <c r="A79" s="2"/>
      <c r="B79" s="6">
        <v>45869</v>
      </c>
      <c r="C79" s="3" t="s">
        <v>151</v>
      </c>
      <c r="D79" s="3" t="s">
        <v>255</v>
      </c>
      <c r="E79" s="7">
        <v>0</v>
      </c>
      <c r="F79" t="s">
        <v>143</v>
      </c>
      <c r="G79" t="s">
        <v>137</v>
      </c>
    </row>
    <row r="80" spans="1:7" x14ac:dyDescent="0.3">
      <c r="A80" s="2"/>
      <c r="B80" s="6">
        <v>45869</v>
      </c>
      <c r="C80" s="3" t="s">
        <v>163</v>
      </c>
      <c r="D80" s="3" t="s">
        <v>162</v>
      </c>
      <c r="E80" s="7">
        <v>30671.08</v>
      </c>
      <c r="F80" t="s">
        <v>162</v>
      </c>
      <c r="G80" t="s">
        <v>161</v>
      </c>
    </row>
    <row r="81" spans="1:7" x14ac:dyDescent="0.3">
      <c r="A81" s="2"/>
      <c r="B81" s="6">
        <v>45869</v>
      </c>
      <c r="C81" s="3" t="s">
        <v>545</v>
      </c>
      <c r="D81" s="3" t="s">
        <v>256</v>
      </c>
      <c r="E81" s="7">
        <v>-10745.91</v>
      </c>
      <c r="F81" t="s">
        <v>162</v>
      </c>
      <c r="G81" t="s">
        <v>161</v>
      </c>
    </row>
    <row r="82" spans="1:7" x14ac:dyDescent="0.3">
      <c r="A82" s="2"/>
      <c r="B82" s="6">
        <v>45869</v>
      </c>
      <c r="C82" s="3" t="s">
        <v>546</v>
      </c>
      <c r="D82" s="3" t="s">
        <v>256</v>
      </c>
      <c r="E82" s="7">
        <v>150</v>
      </c>
      <c r="F82" t="s">
        <v>162</v>
      </c>
      <c r="G82" t="s">
        <v>161</v>
      </c>
    </row>
    <row r="83" spans="1:7" x14ac:dyDescent="0.3">
      <c r="A83" s="2"/>
      <c r="B83" s="6">
        <v>45869</v>
      </c>
      <c r="C83" s="3" t="s">
        <v>547</v>
      </c>
      <c r="D83" s="3" t="s">
        <v>256</v>
      </c>
      <c r="E83" s="7">
        <v>2448.56</v>
      </c>
      <c r="F83" t="s">
        <v>162</v>
      </c>
      <c r="G83" t="s">
        <v>161</v>
      </c>
    </row>
    <row r="84" spans="1:7" x14ac:dyDescent="0.3">
      <c r="A84" s="2"/>
      <c r="B84" s="6">
        <v>45869</v>
      </c>
      <c r="C84" s="3" t="s">
        <v>173</v>
      </c>
      <c r="D84" s="3" t="s">
        <v>257</v>
      </c>
      <c r="E84" s="7">
        <v>-37622.39</v>
      </c>
      <c r="F84" t="s">
        <v>237</v>
      </c>
      <c r="G84" t="s">
        <v>161</v>
      </c>
    </row>
    <row r="85" spans="1:7" x14ac:dyDescent="0.3">
      <c r="A85" s="2"/>
      <c r="B85" s="6">
        <v>45869</v>
      </c>
      <c r="C85" s="3" t="s">
        <v>174</v>
      </c>
      <c r="D85" s="3" t="s">
        <v>257</v>
      </c>
      <c r="E85" s="7">
        <v>1000</v>
      </c>
      <c r="F85" t="s">
        <v>167</v>
      </c>
      <c r="G85" t="s">
        <v>161</v>
      </c>
    </row>
    <row r="86" spans="1:7" x14ac:dyDescent="0.3">
      <c r="A86" s="2"/>
      <c r="B86" s="6">
        <v>45869</v>
      </c>
      <c r="C86" s="3" t="s">
        <v>564</v>
      </c>
      <c r="D86" s="3" t="s">
        <v>180</v>
      </c>
      <c r="E86" s="7">
        <v>-75259.039999999994</v>
      </c>
      <c r="F86" t="s">
        <v>240</v>
      </c>
      <c r="G86" t="s">
        <v>180</v>
      </c>
    </row>
    <row r="87" spans="1:7" x14ac:dyDescent="0.3">
      <c r="A87" s="2"/>
      <c r="B87" s="6">
        <v>45869</v>
      </c>
      <c r="C87" s="3" t="s">
        <v>183</v>
      </c>
      <c r="D87" s="3" t="s">
        <v>180</v>
      </c>
      <c r="E87" s="7">
        <v>-75000</v>
      </c>
      <c r="F87" t="s">
        <v>240</v>
      </c>
      <c r="G87" t="s">
        <v>180</v>
      </c>
    </row>
    <row r="88" spans="1:7" x14ac:dyDescent="0.3">
      <c r="A88" s="2"/>
      <c r="B88" s="6">
        <v>45900</v>
      </c>
      <c r="C88" s="3" t="s">
        <v>553</v>
      </c>
      <c r="D88" s="3" t="s">
        <v>254</v>
      </c>
      <c r="E88" s="7">
        <v>-65407.55</v>
      </c>
      <c r="F88" t="s">
        <v>232</v>
      </c>
      <c r="G88" t="s">
        <v>137</v>
      </c>
    </row>
    <row r="89" spans="1:7" x14ac:dyDescent="0.3">
      <c r="A89" s="2"/>
      <c r="B89" s="6">
        <v>45900</v>
      </c>
      <c r="C89" s="3" t="s">
        <v>554</v>
      </c>
      <c r="D89" s="3" t="s">
        <v>254</v>
      </c>
      <c r="E89" s="7">
        <v>-15</v>
      </c>
      <c r="F89" t="s">
        <v>232</v>
      </c>
      <c r="G89" t="s">
        <v>137</v>
      </c>
    </row>
    <row r="90" spans="1:7" x14ac:dyDescent="0.3">
      <c r="A90" s="2"/>
      <c r="B90" s="6">
        <v>45900</v>
      </c>
      <c r="C90" s="3" t="s">
        <v>141</v>
      </c>
      <c r="D90" s="3" t="s">
        <v>140</v>
      </c>
      <c r="E90" s="7">
        <v>-5577.34</v>
      </c>
      <c r="F90" t="s">
        <v>233</v>
      </c>
      <c r="G90" t="s">
        <v>137</v>
      </c>
    </row>
    <row r="91" spans="1:7" x14ac:dyDescent="0.3">
      <c r="A91" s="2"/>
      <c r="B91" s="6">
        <v>45900</v>
      </c>
      <c r="C91" s="3" t="s">
        <v>562</v>
      </c>
      <c r="D91" s="3" t="s">
        <v>255</v>
      </c>
      <c r="E91" s="7">
        <v>3880</v>
      </c>
      <c r="F91" t="s">
        <v>143</v>
      </c>
      <c r="G91" t="s">
        <v>137</v>
      </c>
    </row>
    <row r="92" spans="1:7" x14ac:dyDescent="0.3">
      <c r="A92" s="2"/>
      <c r="B92" s="6">
        <v>45900</v>
      </c>
      <c r="C92" s="3" t="s">
        <v>151</v>
      </c>
      <c r="D92" s="3" t="s">
        <v>255</v>
      </c>
      <c r="E92" s="7">
        <v>-2348.5</v>
      </c>
      <c r="F92" t="s">
        <v>143</v>
      </c>
      <c r="G92" t="s">
        <v>137</v>
      </c>
    </row>
    <row r="93" spans="1:7" x14ac:dyDescent="0.3">
      <c r="A93" s="2"/>
      <c r="B93" s="6">
        <v>45900</v>
      </c>
      <c r="C93" s="3" t="s">
        <v>163</v>
      </c>
      <c r="D93" s="3" t="s">
        <v>162</v>
      </c>
      <c r="E93" s="7">
        <v>-37690</v>
      </c>
      <c r="F93" t="s">
        <v>162</v>
      </c>
      <c r="G93" t="s">
        <v>161</v>
      </c>
    </row>
    <row r="94" spans="1:7" x14ac:dyDescent="0.3">
      <c r="A94" s="2"/>
      <c r="B94" s="6">
        <v>45900</v>
      </c>
      <c r="C94" s="3" t="s">
        <v>545</v>
      </c>
      <c r="D94" s="3" t="s">
        <v>256</v>
      </c>
      <c r="E94" s="7">
        <v>1508.68</v>
      </c>
      <c r="F94" t="s">
        <v>162</v>
      </c>
      <c r="G94" t="s">
        <v>161</v>
      </c>
    </row>
    <row r="95" spans="1:7" x14ac:dyDescent="0.3">
      <c r="A95" s="2"/>
      <c r="B95" s="6">
        <v>45900</v>
      </c>
      <c r="C95" s="3" t="s">
        <v>546</v>
      </c>
      <c r="D95" s="3" t="s">
        <v>256</v>
      </c>
      <c r="E95" s="7">
        <v>-150</v>
      </c>
      <c r="F95" t="s">
        <v>162</v>
      </c>
      <c r="G95" t="s">
        <v>161</v>
      </c>
    </row>
    <row r="96" spans="1:7" x14ac:dyDescent="0.3">
      <c r="A96" s="2"/>
      <c r="B96" s="6">
        <v>45900</v>
      </c>
      <c r="C96" s="3" t="s">
        <v>547</v>
      </c>
      <c r="D96" s="3" t="s">
        <v>256</v>
      </c>
      <c r="E96" s="7">
        <v>-113.51</v>
      </c>
      <c r="F96" t="s">
        <v>162</v>
      </c>
      <c r="G96" t="s">
        <v>161</v>
      </c>
    </row>
    <row r="97" spans="1:7" x14ac:dyDescent="0.3">
      <c r="A97" s="2"/>
      <c r="B97" s="6">
        <v>45900</v>
      </c>
      <c r="C97" s="3" t="s">
        <v>173</v>
      </c>
      <c r="D97" s="3" t="s">
        <v>257</v>
      </c>
      <c r="E97" s="7">
        <v>-45255.79</v>
      </c>
      <c r="F97" t="s">
        <v>237</v>
      </c>
      <c r="G97" t="s">
        <v>161</v>
      </c>
    </row>
    <row r="98" spans="1:7" x14ac:dyDescent="0.3">
      <c r="A98" s="2"/>
      <c r="B98" s="6">
        <v>45900</v>
      </c>
      <c r="C98" s="3" t="s">
        <v>174</v>
      </c>
      <c r="D98" s="3" t="s">
        <v>257</v>
      </c>
      <c r="E98" s="7">
        <v>1250</v>
      </c>
      <c r="F98" t="s">
        <v>167</v>
      </c>
      <c r="G98" t="s">
        <v>161</v>
      </c>
    </row>
    <row r="99" spans="1:7" x14ac:dyDescent="0.3">
      <c r="A99" s="2"/>
      <c r="B99" s="6">
        <v>45900</v>
      </c>
      <c r="C99" s="3" t="s">
        <v>564</v>
      </c>
      <c r="D99" s="3" t="s">
        <v>180</v>
      </c>
      <c r="E99" s="7">
        <v>-314.83</v>
      </c>
      <c r="F99" t="s">
        <v>240</v>
      </c>
      <c r="G99" t="s">
        <v>180</v>
      </c>
    </row>
    <row r="100" spans="1:7" x14ac:dyDescent="0.3">
      <c r="A100" s="2"/>
      <c r="B100" s="6">
        <v>45930</v>
      </c>
      <c r="C100" s="3" t="s">
        <v>553</v>
      </c>
      <c r="D100" s="3" t="s">
        <v>254</v>
      </c>
      <c r="E100" s="7">
        <v>-85233.66</v>
      </c>
      <c r="F100" t="s">
        <v>232</v>
      </c>
      <c r="G100" t="s">
        <v>137</v>
      </c>
    </row>
    <row r="101" spans="1:7" x14ac:dyDescent="0.3">
      <c r="A101" s="2"/>
      <c r="B101" s="6">
        <v>45930</v>
      </c>
      <c r="C101" s="3" t="s">
        <v>554</v>
      </c>
      <c r="D101" s="3" t="s">
        <v>254</v>
      </c>
      <c r="E101" s="7">
        <v>5015</v>
      </c>
      <c r="F101" t="s">
        <v>232</v>
      </c>
      <c r="G101" t="s">
        <v>137</v>
      </c>
    </row>
    <row r="102" spans="1:7" x14ac:dyDescent="0.3">
      <c r="A102" s="2"/>
      <c r="B102" s="6">
        <v>45930</v>
      </c>
      <c r="C102" s="3" t="s">
        <v>141</v>
      </c>
      <c r="D102" s="3" t="s">
        <v>140</v>
      </c>
      <c r="E102" s="7">
        <v>148803.54</v>
      </c>
      <c r="F102" t="s">
        <v>233</v>
      </c>
      <c r="G102" t="s">
        <v>137</v>
      </c>
    </row>
    <row r="103" spans="1:7" x14ac:dyDescent="0.3">
      <c r="A103" s="2"/>
      <c r="B103" s="6">
        <v>45930</v>
      </c>
      <c r="C103" s="3" t="s">
        <v>562</v>
      </c>
      <c r="D103" s="3" t="s">
        <v>255</v>
      </c>
      <c r="E103" s="7">
        <v>-460</v>
      </c>
      <c r="F103" t="s">
        <v>143</v>
      </c>
      <c r="G103" t="s">
        <v>137</v>
      </c>
    </row>
    <row r="104" spans="1:7" x14ac:dyDescent="0.3">
      <c r="A104" s="2"/>
      <c r="B104" s="6">
        <v>45930</v>
      </c>
      <c r="C104" s="3" t="s">
        <v>151</v>
      </c>
      <c r="D104" s="3" t="s">
        <v>255</v>
      </c>
      <c r="E104" s="7">
        <v>2348.5</v>
      </c>
      <c r="F104" t="s">
        <v>143</v>
      </c>
      <c r="G104" t="s">
        <v>137</v>
      </c>
    </row>
    <row r="105" spans="1:7" x14ac:dyDescent="0.3">
      <c r="A105" s="2"/>
      <c r="B105" s="6">
        <v>45930</v>
      </c>
      <c r="C105" s="3" t="s">
        <v>163</v>
      </c>
      <c r="D105" s="3" t="s">
        <v>162</v>
      </c>
      <c r="E105" s="7">
        <v>1284.3399999999999</v>
      </c>
      <c r="F105" t="s">
        <v>162</v>
      </c>
      <c r="G105" t="s">
        <v>161</v>
      </c>
    </row>
    <row r="106" spans="1:7" x14ac:dyDescent="0.3">
      <c r="A106" s="2"/>
      <c r="B106" s="6">
        <v>45930</v>
      </c>
      <c r="C106" s="3" t="s">
        <v>545</v>
      </c>
      <c r="D106" s="3" t="s">
        <v>256</v>
      </c>
      <c r="E106" s="7">
        <v>-3263.34</v>
      </c>
      <c r="F106" t="s">
        <v>162</v>
      </c>
      <c r="G106" t="s">
        <v>161</v>
      </c>
    </row>
    <row r="107" spans="1:7" x14ac:dyDescent="0.3">
      <c r="A107" s="2"/>
      <c r="B107" s="6">
        <v>45930</v>
      </c>
      <c r="C107" s="3" t="s">
        <v>547</v>
      </c>
      <c r="D107" s="3" t="s">
        <v>256</v>
      </c>
      <c r="E107" s="7">
        <v>-2020.51</v>
      </c>
      <c r="F107" t="s">
        <v>162</v>
      </c>
      <c r="G107" t="s">
        <v>161</v>
      </c>
    </row>
    <row r="108" spans="1:7" x14ac:dyDescent="0.3">
      <c r="A108" s="2"/>
      <c r="B108" s="6">
        <v>45930</v>
      </c>
      <c r="C108" s="3" t="s">
        <v>173</v>
      </c>
      <c r="D108" s="3" t="s">
        <v>257</v>
      </c>
      <c r="E108" s="7">
        <v>4690.4799999999996</v>
      </c>
      <c r="F108" t="s">
        <v>237</v>
      </c>
      <c r="G108" t="s">
        <v>161</v>
      </c>
    </row>
    <row r="109" spans="1:7" x14ac:dyDescent="0.3">
      <c r="A109" s="2"/>
      <c r="B109" s="6">
        <v>45930</v>
      </c>
      <c r="C109" s="3" t="s">
        <v>174</v>
      </c>
      <c r="D109" s="3" t="s">
        <v>257</v>
      </c>
      <c r="E109" s="7">
        <v>750</v>
      </c>
      <c r="F109" t="s">
        <v>167</v>
      </c>
      <c r="G109" t="s">
        <v>161</v>
      </c>
    </row>
    <row r="110" spans="1:7" x14ac:dyDescent="0.3">
      <c r="A110" s="2"/>
      <c r="B110" s="6">
        <v>45930</v>
      </c>
      <c r="C110" s="3" t="s">
        <v>564</v>
      </c>
      <c r="D110" s="3" t="s">
        <v>180</v>
      </c>
      <c r="E110" s="7">
        <v>-103.7</v>
      </c>
      <c r="F110" t="s">
        <v>240</v>
      </c>
      <c r="G110" t="s">
        <v>180</v>
      </c>
    </row>
    <row r="111" spans="1:7" x14ac:dyDescent="0.3">
      <c r="A111" s="2"/>
      <c r="B111" s="6">
        <v>45961</v>
      </c>
      <c r="C111" s="3" t="s">
        <v>553</v>
      </c>
      <c r="D111" s="3" t="s">
        <v>254</v>
      </c>
      <c r="E111" s="7">
        <v>30076.54</v>
      </c>
      <c r="F111" t="s">
        <v>232</v>
      </c>
      <c r="G111" t="s">
        <v>137</v>
      </c>
    </row>
    <row r="112" spans="1:7" x14ac:dyDescent="0.3">
      <c r="A112" s="2"/>
      <c r="B112" s="6">
        <v>45961</v>
      </c>
      <c r="C112" s="3" t="s">
        <v>554</v>
      </c>
      <c r="D112" s="3" t="s">
        <v>254</v>
      </c>
      <c r="E112" s="7">
        <v>0</v>
      </c>
      <c r="F112" t="s">
        <v>232</v>
      </c>
      <c r="G112" t="s">
        <v>137</v>
      </c>
    </row>
    <row r="113" spans="1:7" x14ac:dyDescent="0.3">
      <c r="A113" s="2"/>
      <c r="B113" s="6">
        <v>45961</v>
      </c>
      <c r="C113" s="3" t="s">
        <v>141</v>
      </c>
      <c r="D113" s="3" t="s">
        <v>140</v>
      </c>
      <c r="E113" s="7">
        <v>-81362.460000000006</v>
      </c>
      <c r="F113" t="s">
        <v>233</v>
      </c>
      <c r="G113" t="s">
        <v>137</v>
      </c>
    </row>
    <row r="114" spans="1:7" x14ac:dyDescent="0.3">
      <c r="A114" s="2"/>
      <c r="B114" s="6">
        <v>45961</v>
      </c>
      <c r="C114" s="3" t="s">
        <v>144</v>
      </c>
      <c r="D114" s="3" t="s">
        <v>255</v>
      </c>
      <c r="E114" s="7">
        <v>519.15</v>
      </c>
      <c r="F114" t="s">
        <v>143</v>
      </c>
      <c r="G114" t="s">
        <v>137</v>
      </c>
    </row>
    <row r="115" spans="1:7" x14ac:dyDescent="0.3">
      <c r="A115" s="2"/>
      <c r="B115" s="6">
        <v>45961</v>
      </c>
      <c r="C115" s="3" t="s">
        <v>562</v>
      </c>
      <c r="D115" s="3" t="s">
        <v>255</v>
      </c>
      <c r="E115" s="7">
        <v>5880</v>
      </c>
      <c r="F115" t="s">
        <v>143</v>
      </c>
      <c r="G115" t="s">
        <v>137</v>
      </c>
    </row>
    <row r="116" spans="1:7" x14ac:dyDescent="0.3">
      <c r="A116" s="2"/>
      <c r="B116" s="6">
        <v>45961</v>
      </c>
      <c r="C116" s="3" t="s">
        <v>151</v>
      </c>
      <c r="D116" s="3" t="s">
        <v>255</v>
      </c>
      <c r="E116" s="7">
        <v>0</v>
      </c>
      <c r="F116" t="s">
        <v>143</v>
      </c>
      <c r="G116" t="s">
        <v>137</v>
      </c>
    </row>
    <row r="117" spans="1:7" x14ac:dyDescent="0.3">
      <c r="A117" s="2"/>
      <c r="B117" s="6">
        <v>45961</v>
      </c>
      <c r="C117" s="3" t="s">
        <v>163</v>
      </c>
      <c r="D117" s="3" t="s">
        <v>162</v>
      </c>
      <c r="E117" s="7">
        <v>4587.97</v>
      </c>
      <c r="F117" t="s">
        <v>162</v>
      </c>
      <c r="G117" t="s">
        <v>161</v>
      </c>
    </row>
    <row r="118" spans="1:7" x14ac:dyDescent="0.3">
      <c r="A118" s="2"/>
      <c r="B118" s="6">
        <v>45961</v>
      </c>
      <c r="C118" s="3" t="s">
        <v>545</v>
      </c>
      <c r="D118" s="3" t="s">
        <v>256</v>
      </c>
      <c r="E118" s="7">
        <v>4767.45</v>
      </c>
      <c r="F118" t="s">
        <v>162</v>
      </c>
      <c r="G118" t="s">
        <v>161</v>
      </c>
    </row>
    <row r="119" spans="1:7" x14ac:dyDescent="0.3">
      <c r="A119" s="2"/>
      <c r="B119" s="6">
        <v>45961</v>
      </c>
      <c r="C119" s="3" t="s">
        <v>547</v>
      </c>
      <c r="D119" s="3" t="s">
        <v>256</v>
      </c>
      <c r="E119" s="7">
        <v>-763.27</v>
      </c>
      <c r="F119" t="s">
        <v>162</v>
      </c>
      <c r="G119" t="s">
        <v>161</v>
      </c>
    </row>
    <row r="120" spans="1:7" x14ac:dyDescent="0.3">
      <c r="A120" s="2"/>
      <c r="B120" s="6">
        <v>45961</v>
      </c>
      <c r="C120" s="3" t="s">
        <v>173</v>
      </c>
      <c r="D120" s="3" t="s">
        <v>257</v>
      </c>
      <c r="E120" s="7">
        <v>-50825.18</v>
      </c>
      <c r="F120" t="s">
        <v>237</v>
      </c>
      <c r="G120" t="s">
        <v>161</v>
      </c>
    </row>
    <row r="121" spans="1:7" x14ac:dyDescent="0.3">
      <c r="A121" s="2"/>
      <c r="B121" s="6">
        <v>45961</v>
      </c>
      <c r="C121" s="3" t="s">
        <v>174</v>
      </c>
      <c r="D121" s="3" t="s">
        <v>257</v>
      </c>
      <c r="E121" s="7">
        <v>-625</v>
      </c>
      <c r="F121" t="s">
        <v>167</v>
      </c>
      <c r="G121" t="s">
        <v>161</v>
      </c>
    </row>
    <row r="122" spans="1:7" x14ac:dyDescent="0.3">
      <c r="A122" s="2"/>
      <c r="B122" s="6">
        <v>45961</v>
      </c>
      <c r="C122" s="3" t="s">
        <v>564</v>
      </c>
      <c r="D122" s="3" t="s">
        <v>180</v>
      </c>
      <c r="E122" s="7">
        <v>-27.34</v>
      </c>
      <c r="F122" t="s">
        <v>240</v>
      </c>
      <c r="G122" t="s">
        <v>180</v>
      </c>
    </row>
    <row r="123" spans="1:7" x14ac:dyDescent="0.3">
      <c r="A123" s="2"/>
      <c r="B123" s="6">
        <v>45991</v>
      </c>
      <c r="C123" s="3" t="s">
        <v>553</v>
      </c>
      <c r="D123" s="3" t="s">
        <v>254</v>
      </c>
      <c r="E123" s="7">
        <v>-69928.67</v>
      </c>
      <c r="F123" t="s">
        <v>232</v>
      </c>
      <c r="G123" t="s">
        <v>137</v>
      </c>
    </row>
    <row r="124" spans="1:7" x14ac:dyDescent="0.3">
      <c r="A124" s="2"/>
      <c r="B124" s="6">
        <v>45991</v>
      </c>
      <c r="C124" s="3" t="s">
        <v>554</v>
      </c>
      <c r="D124" s="3" t="s">
        <v>254</v>
      </c>
      <c r="E124" s="7">
        <v>0</v>
      </c>
      <c r="F124" t="s">
        <v>232</v>
      </c>
      <c r="G124" t="s">
        <v>137</v>
      </c>
    </row>
    <row r="125" spans="1:7" x14ac:dyDescent="0.3">
      <c r="A125" s="2"/>
      <c r="B125" s="6">
        <v>45991</v>
      </c>
      <c r="C125" s="3" t="s">
        <v>141</v>
      </c>
      <c r="D125" s="3" t="s">
        <v>140</v>
      </c>
      <c r="E125" s="7">
        <v>100890.96</v>
      </c>
      <c r="F125" t="s">
        <v>233</v>
      </c>
      <c r="G125" t="s">
        <v>137</v>
      </c>
    </row>
    <row r="126" spans="1:7" x14ac:dyDescent="0.3">
      <c r="A126" s="2"/>
      <c r="B126" s="6">
        <v>45991</v>
      </c>
      <c r="C126" s="3" t="s">
        <v>562</v>
      </c>
      <c r="D126" s="3" t="s">
        <v>255</v>
      </c>
      <c r="E126" s="7">
        <v>-520</v>
      </c>
      <c r="F126" t="s">
        <v>143</v>
      </c>
      <c r="G126" t="s">
        <v>137</v>
      </c>
    </row>
    <row r="127" spans="1:7" x14ac:dyDescent="0.3">
      <c r="A127" s="2"/>
      <c r="B127" s="6">
        <v>45991</v>
      </c>
      <c r="C127" s="3" t="s">
        <v>163</v>
      </c>
      <c r="D127" s="3" t="s">
        <v>162</v>
      </c>
      <c r="E127" s="7">
        <v>378.43999999999897</v>
      </c>
      <c r="F127" t="s">
        <v>162</v>
      </c>
      <c r="G127" t="s">
        <v>161</v>
      </c>
    </row>
    <row r="128" spans="1:7" x14ac:dyDescent="0.3">
      <c r="A128" s="2"/>
      <c r="B128" s="6">
        <v>45991</v>
      </c>
      <c r="C128" s="3" t="s">
        <v>545</v>
      </c>
      <c r="D128" s="3" t="s">
        <v>256</v>
      </c>
      <c r="E128" s="7">
        <v>-1830.9</v>
      </c>
      <c r="F128" t="s">
        <v>162</v>
      </c>
      <c r="G128" t="s">
        <v>161</v>
      </c>
    </row>
    <row r="129" spans="1:7" x14ac:dyDescent="0.3">
      <c r="A129" s="2"/>
      <c r="B129" s="6">
        <v>45991</v>
      </c>
      <c r="C129" s="3" t="s">
        <v>547</v>
      </c>
      <c r="D129" s="3" t="s">
        <v>256</v>
      </c>
      <c r="E129" s="7">
        <v>-322.74</v>
      </c>
      <c r="F129" t="s">
        <v>162</v>
      </c>
      <c r="G129" t="s">
        <v>161</v>
      </c>
    </row>
    <row r="130" spans="1:7" x14ac:dyDescent="0.3">
      <c r="A130" s="2"/>
      <c r="B130" s="6">
        <v>45991</v>
      </c>
      <c r="C130" s="3" t="s">
        <v>173</v>
      </c>
      <c r="D130" s="3" t="s">
        <v>257</v>
      </c>
      <c r="E130" s="7">
        <v>-54316.68</v>
      </c>
      <c r="F130" t="s">
        <v>237</v>
      </c>
      <c r="G130" t="s">
        <v>161</v>
      </c>
    </row>
    <row r="131" spans="1:7" x14ac:dyDescent="0.3">
      <c r="A131" s="2"/>
      <c r="B131" s="6">
        <v>45991</v>
      </c>
      <c r="C131" s="3" t="s">
        <v>174</v>
      </c>
      <c r="D131" s="3" t="s">
        <v>257</v>
      </c>
      <c r="E131" s="7">
        <v>-625</v>
      </c>
      <c r="F131" t="s">
        <v>167</v>
      </c>
      <c r="G131" t="s">
        <v>161</v>
      </c>
    </row>
    <row r="132" spans="1:7" x14ac:dyDescent="0.3">
      <c r="A132" s="2"/>
      <c r="B132" s="6">
        <v>45991</v>
      </c>
      <c r="C132" s="3" t="s">
        <v>564</v>
      </c>
      <c r="D132" s="3" t="s">
        <v>180</v>
      </c>
      <c r="E132" s="7">
        <v>-1439.92</v>
      </c>
      <c r="F132" t="s">
        <v>240</v>
      </c>
      <c r="G132" t="s">
        <v>180</v>
      </c>
    </row>
    <row r="133" spans="1:7" x14ac:dyDescent="0.3">
      <c r="A133" s="2"/>
      <c r="B133" s="6">
        <v>46022</v>
      </c>
      <c r="C133" s="3" t="s">
        <v>553</v>
      </c>
      <c r="D133" s="3" t="s">
        <v>254</v>
      </c>
      <c r="E133" s="7">
        <v>17406.63</v>
      </c>
      <c r="F133" t="s">
        <v>232</v>
      </c>
      <c r="G133" t="s">
        <v>137</v>
      </c>
    </row>
    <row r="134" spans="1:7" x14ac:dyDescent="0.3">
      <c r="A134" s="2"/>
      <c r="B134" s="6">
        <v>46022</v>
      </c>
      <c r="C134" s="3" t="s">
        <v>554</v>
      </c>
      <c r="D134" s="3" t="s">
        <v>254</v>
      </c>
      <c r="E134" s="7">
        <v>0</v>
      </c>
      <c r="F134" t="s">
        <v>232</v>
      </c>
      <c r="G134" t="s">
        <v>137</v>
      </c>
    </row>
    <row r="135" spans="1:7" x14ac:dyDescent="0.3">
      <c r="A135" s="2"/>
      <c r="B135" s="6">
        <v>46022</v>
      </c>
      <c r="C135" s="3" t="s">
        <v>141</v>
      </c>
      <c r="D135" s="3" t="s">
        <v>140</v>
      </c>
      <c r="E135" s="7">
        <v>-111533.55</v>
      </c>
      <c r="F135" t="s">
        <v>233</v>
      </c>
      <c r="G135" t="s">
        <v>137</v>
      </c>
    </row>
    <row r="136" spans="1:7" x14ac:dyDescent="0.3">
      <c r="A136" s="2"/>
      <c r="B136" s="6">
        <v>46022</v>
      </c>
      <c r="C136" s="3" t="s">
        <v>147</v>
      </c>
      <c r="D136" s="3" t="s">
        <v>255</v>
      </c>
      <c r="E136" s="7">
        <v>8563.26</v>
      </c>
      <c r="F136" t="s">
        <v>143</v>
      </c>
      <c r="G136" t="s">
        <v>137</v>
      </c>
    </row>
    <row r="137" spans="1:7" x14ac:dyDescent="0.3">
      <c r="A137" s="2"/>
      <c r="B137" s="6">
        <v>46022</v>
      </c>
      <c r="C137" s="3" t="s">
        <v>562</v>
      </c>
      <c r="D137" s="3" t="s">
        <v>255</v>
      </c>
      <c r="E137" s="7">
        <v>-2060.64</v>
      </c>
      <c r="F137" t="s">
        <v>143</v>
      </c>
      <c r="G137" t="s">
        <v>137</v>
      </c>
    </row>
    <row r="138" spans="1:7" x14ac:dyDescent="0.3">
      <c r="A138" s="2"/>
      <c r="B138" s="6">
        <v>46022</v>
      </c>
      <c r="C138" s="3" t="s">
        <v>163</v>
      </c>
      <c r="D138" s="3" t="s">
        <v>162</v>
      </c>
      <c r="E138" s="7">
        <v>-2706.5599999999899</v>
      </c>
      <c r="F138" t="s">
        <v>162</v>
      </c>
      <c r="G138" t="s">
        <v>161</v>
      </c>
    </row>
    <row r="139" spans="1:7" x14ac:dyDescent="0.3">
      <c r="A139" s="2"/>
      <c r="B139" s="6">
        <v>46022</v>
      </c>
      <c r="C139" s="3" t="s">
        <v>545</v>
      </c>
      <c r="D139" s="3" t="s">
        <v>256</v>
      </c>
      <c r="E139" s="7">
        <v>-4084.8</v>
      </c>
      <c r="F139" t="s">
        <v>162</v>
      </c>
      <c r="G139" t="s">
        <v>161</v>
      </c>
    </row>
    <row r="140" spans="1:7" x14ac:dyDescent="0.3">
      <c r="A140" s="2"/>
      <c r="B140" s="6">
        <v>46022</v>
      </c>
      <c r="C140" s="3" t="s">
        <v>547</v>
      </c>
      <c r="D140" s="3" t="s">
        <v>256</v>
      </c>
      <c r="E140" s="7">
        <v>451.18</v>
      </c>
      <c r="F140" t="s">
        <v>162</v>
      </c>
      <c r="G140" t="s">
        <v>161</v>
      </c>
    </row>
    <row r="141" spans="1:7" x14ac:dyDescent="0.3">
      <c r="A141" s="2"/>
      <c r="B141" s="6">
        <v>46022</v>
      </c>
      <c r="C141" s="3" t="s">
        <v>173</v>
      </c>
      <c r="D141" s="3" t="s">
        <v>257</v>
      </c>
      <c r="E141" s="7">
        <v>-52522.43</v>
      </c>
      <c r="F141" t="s">
        <v>237</v>
      </c>
      <c r="G141" t="s">
        <v>161</v>
      </c>
    </row>
    <row r="142" spans="1:7" x14ac:dyDescent="0.3">
      <c r="A142" s="2"/>
      <c r="B142" s="6">
        <v>46022</v>
      </c>
      <c r="C142" s="3" t="s">
        <v>174</v>
      </c>
      <c r="D142" s="3" t="s">
        <v>257</v>
      </c>
      <c r="E142" s="7">
        <v>-6250</v>
      </c>
      <c r="F142" t="s">
        <v>167</v>
      </c>
      <c r="G142" t="s">
        <v>161</v>
      </c>
    </row>
    <row r="143" spans="1:7" x14ac:dyDescent="0.3">
      <c r="A143" s="2"/>
      <c r="B143" s="6">
        <v>46022</v>
      </c>
      <c r="C143" s="3" t="s">
        <v>564</v>
      </c>
      <c r="D143" s="3" t="s">
        <v>180</v>
      </c>
      <c r="E143" s="7">
        <v>2174.1799999999998</v>
      </c>
      <c r="F143" t="s">
        <v>240</v>
      </c>
      <c r="G143" t="s">
        <v>180</v>
      </c>
    </row>
    <row r="144" spans="1:7" x14ac:dyDescent="0.3">
      <c r="A144" s="2"/>
      <c r="B144" s="6">
        <v>46053</v>
      </c>
      <c r="C144" s="3" t="s">
        <v>553</v>
      </c>
      <c r="D144" s="3" t="s">
        <v>254</v>
      </c>
      <c r="E144" s="7">
        <v>-60467.25</v>
      </c>
      <c r="F144" t="s">
        <v>232</v>
      </c>
      <c r="G144" t="s">
        <v>137</v>
      </c>
    </row>
    <row r="145" spans="1:7" x14ac:dyDescent="0.3">
      <c r="A145" s="2"/>
      <c r="B145" s="6">
        <v>46053</v>
      </c>
      <c r="C145" s="3" t="s">
        <v>554</v>
      </c>
      <c r="D145" s="3" t="s">
        <v>254</v>
      </c>
      <c r="E145" s="7">
        <v>0</v>
      </c>
      <c r="F145" t="s">
        <v>232</v>
      </c>
      <c r="G145" t="s">
        <v>137</v>
      </c>
    </row>
    <row r="146" spans="1:7" x14ac:dyDescent="0.3">
      <c r="A146" s="2"/>
      <c r="B146" s="6">
        <v>46053</v>
      </c>
      <c r="C146" s="3" t="s">
        <v>141</v>
      </c>
      <c r="D146" s="3" t="s">
        <v>140</v>
      </c>
      <c r="E146" s="7">
        <v>27478.75</v>
      </c>
      <c r="F146" t="s">
        <v>233</v>
      </c>
      <c r="G146" t="s">
        <v>137</v>
      </c>
    </row>
    <row r="147" spans="1:7" x14ac:dyDescent="0.3">
      <c r="A147" s="2"/>
      <c r="B147" s="6">
        <v>46053</v>
      </c>
      <c r="C147" s="3" t="s">
        <v>144</v>
      </c>
      <c r="D147" s="3" t="s">
        <v>255</v>
      </c>
      <c r="E147" s="7">
        <v>-25</v>
      </c>
      <c r="F147" t="s">
        <v>143</v>
      </c>
      <c r="G147" t="s">
        <v>137</v>
      </c>
    </row>
    <row r="148" spans="1:7" x14ac:dyDescent="0.3">
      <c r="A148" s="2"/>
      <c r="B148" s="6">
        <v>46053</v>
      </c>
      <c r="C148" s="3" t="s">
        <v>145</v>
      </c>
      <c r="D148" s="3" t="s">
        <v>255</v>
      </c>
      <c r="E148" s="7">
        <v>74.92</v>
      </c>
      <c r="F148" t="s">
        <v>143</v>
      </c>
      <c r="G148" t="s">
        <v>137</v>
      </c>
    </row>
    <row r="149" spans="1:7" x14ac:dyDescent="0.3">
      <c r="A149" s="2"/>
      <c r="B149" s="6">
        <v>46053</v>
      </c>
      <c r="C149" s="3" t="s">
        <v>147</v>
      </c>
      <c r="D149" s="3" t="s">
        <v>255</v>
      </c>
      <c r="E149" s="7">
        <v>2247.1799999999998</v>
      </c>
      <c r="F149" t="s">
        <v>143</v>
      </c>
      <c r="G149" t="s">
        <v>137</v>
      </c>
    </row>
    <row r="150" spans="1:7" x14ac:dyDescent="0.3">
      <c r="A150" s="2"/>
      <c r="B150" s="6">
        <v>46053</v>
      </c>
      <c r="C150" s="3" t="s">
        <v>562</v>
      </c>
      <c r="D150" s="3" t="s">
        <v>255</v>
      </c>
      <c r="E150" s="7">
        <v>-17.5</v>
      </c>
      <c r="F150" t="s">
        <v>143</v>
      </c>
      <c r="G150" t="s">
        <v>137</v>
      </c>
    </row>
    <row r="151" spans="1:7" x14ac:dyDescent="0.3">
      <c r="A151" s="2"/>
      <c r="B151" s="6">
        <v>46053</v>
      </c>
      <c r="C151" s="3" t="s">
        <v>151</v>
      </c>
      <c r="D151" s="3" t="s">
        <v>255</v>
      </c>
      <c r="E151" s="7">
        <v>0</v>
      </c>
      <c r="F151" t="s">
        <v>143</v>
      </c>
      <c r="G151" t="s">
        <v>137</v>
      </c>
    </row>
    <row r="152" spans="1:7" x14ac:dyDescent="0.3">
      <c r="A152" s="2"/>
      <c r="B152" s="6">
        <v>46053</v>
      </c>
      <c r="C152" s="3" t="s">
        <v>163</v>
      </c>
      <c r="D152" s="3" t="s">
        <v>162</v>
      </c>
      <c r="E152" s="7">
        <v>11120</v>
      </c>
      <c r="F152" t="s">
        <v>162</v>
      </c>
      <c r="G152" t="s">
        <v>161</v>
      </c>
    </row>
    <row r="153" spans="1:7" x14ac:dyDescent="0.3">
      <c r="A153" s="2"/>
      <c r="B153" s="6">
        <v>46053</v>
      </c>
      <c r="C153" s="3" t="s">
        <v>545</v>
      </c>
      <c r="D153" s="3" t="s">
        <v>256</v>
      </c>
      <c r="E153" s="7">
        <v>868.65999999999894</v>
      </c>
      <c r="F153" t="s">
        <v>162</v>
      </c>
      <c r="G153" t="s">
        <v>161</v>
      </c>
    </row>
    <row r="154" spans="1:7" x14ac:dyDescent="0.3">
      <c r="A154" s="2"/>
      <c r="B154" s="6">
        <v>46053</v>
      </c>
      <c r="C154" s="3" t="s">
        <v>547</v>
      </c>
      <c r="D154" s="3" t="s">
        <v>256</v>
      </c>
      <c r="E154" s="7">
        <v>-209.44</v>
      </c>
      <c r="F154" t="s">
        <v>162</v>
      </c>
      <c r="G154" t="s">
        <v>161</v>
      </c>
    </row>
    <row r="155" spans="1:7" x14ac:dyDescent="0.3">
      <c r="A155" s="2"/>
      <c r="B155" s="6">
        <v>46053</v>
      </c>
      <c r="C155" s="3" t="s">
        <v>168</v>
      </c>
      <c r="D155" s="3" t="s">
        <v>257</v>
      </c>
      <c r="E155" s="7">
        <v>12336.92</v>
      </c>
      <c r="F155" t="s">
        <v>167</v>
      </c>
      <c r="G155" t="s">
        <v>161</v>
      </c>
    </row>
    <row r="156" spans="1:7" x14ac:dyDescent="0.3">
      <c r="A156" s="2"/>
      <c r="B156" s="6">
        <v>46053</v>
      </c>
      <c r="C156" s="3" t="s">
        <v>169</v>
      </c>
      <c r="D156" s="3" t="s">
        <v>257</v>
      </c>
      <c r="E156" s="7">
        <v>16520</v>
      </c>
      <c r="F156" t="s">
        <v>167</v>
      </c>
      <c r="G156" t="s">
        <v>161</v>
      </c>
    </row>
    <row r="157" spans="1:7" x14ac:dyDescent="0.3">
      <c r="A157" s="2"/>
      <c r="B157" s="6">
        <v>46053</v>
      </c>
      <c r="C157" s="3" t="s">
        <v>170</v>
      </c>
      <c r="D157" s="3" t="s">
        <v>257</v>
      </c>
      <c r="E157" s="7">
        <v>1851.1</v>
      </c>
      <c r="F157" t="s">
        <v>167</v>
      </c>
      <c r="G157" t="s">
        <v>161</v>
      </c>
    </row>
    <row r="158" spans="1:7" x14ac:dyDescent="0.3">
      <c r="A158" s="2"/>
      <c r="B158" s="6">
        <v>46053</v>
      </c>
      <c r="C158" s="3" t="s">
        <v>171</v>
      </c>
      <c r="D158" s="3" t="s">
        <v>257</v>
      </c>
      <c r="E158" s="7">
        <v>967.38</v>
      </c>
      <c r="F158" t="s">
        <v>167</v>
      </c>
      <c r="G158" t="s">
        <v>161</v>
      </c>
    </row>
    <row r="159" spans="1:7" x14ac:dyDescent="0.3">
      <c r="A159" s="2"/>
      <c r="B159" s="6">
        <v>46053</v>
      </c>
      <c r="C159" s="3" t="s">
        <v>173</v>
      </c>
      <c r="D159" s="3" t="s">
        <v>257</v>
      </c>
      <c r="E159" s="7">
        <v>-49990.46</v>
      </c>
      <c r="F159" t="s">
        <v>237</v>
      </c>
      <c r="G159" t="s">
        <v>161</v>
      </c>
    </row>
    <row r="160" spans="1:7" x14ac:dyDescent="0.3">
      <c r="A160" s="2"/>
      <c r="B160" s="6">
        <v>46053</v>
      </c>
      <c r="C160" s="3" t="s">
        <v>174</v>
      </c>
      <c r="D160" s="3" t="s">
        <v>257</v>
      </c>
      <c r="E160" s="7">
        <v>-750</v>
      </c>
      <c r="F160" t="s">
        <v>167</v>
      </c>
      <c r="G160" t="s">
        <v>161</v>
      </c>
    </row>
    <row r="161" spans="1:7" x14ac:dyDescent="0.3">
      <c r="A161" s="2"/>
      <c r="B161" s="6">
        <v>46053</v>
      </c>
      <c r="C161" s="3" t="s">
        <v>182</v>
      </c>
      <c r="D161" s="3" t="s">
        <v>180</v>
      </c>
      <c r="E161" s="7">
        <v>234465.82</v>
      </c>
      <c r="F161" t="s">
        <v>240</v>
      </c>
      <c r="G161" t="s">
        <v>180</v>
      </c>
    </row>
    <row r="162" spans="1:7" x14ac:dyDescent="0.3">
      <c r="A162" s="2"/>
      <c r="B162" s="6">
        <v>46053</v>
      </c>
      <c r="C162" s="3" t="s">
        <v>184</v>
      </c>
      <c r="D162" s="3" t="s">
        <v>180</v>
      </c>
      <c r="E162" s="7">
        <v>234465.81</v>
      </c>
      <c r="F162" t="s">
        <v>240</v>
      </c>
      <c r="G162" t="s">
        <v>180</v>
      </c>
    </row>
    <row r="163" spans="1:7" x14ac:dyDescent="0.3">
      <c r="A163" s="2"/>
      <c r="B163" s="6">
        <v>46053</v>
      </c>
      <c r="C163" s="3" t="s">
        <v>185</v>
      </c>
      <c r="D163" s="3" t="s">
        <v>180</v>
      </c>
      <c r="E163" s="7">
        <v>-514388.19</v>
      </c>
      <c r="F163" t="s">
        <v>240</v>
      </c>
      <c r="G163" t="s">
        <v>180</v>
      </c>
    </row>
    <row r="164" spans="1:7" x14ac:dyDescent="0.3">
      <c r="A164" s="2"/>
      <c r="B164" s="6">
        <v>46081</v>
      </c>
      <c r="C164" s="3" t="s">
        <v>553</v>
      </c>
      <c r="D164" s="3" t="s">
        <v>254</v>
      </c>
      <c r="E164" s="7">
        <v>-22812.18</v>
      </c>
      <c r="F164" t="s">
        <v>232</v>
      </c>
      <c r="G164" t="s">
        <v>137</v>
      </c>
    </row>
    <row r="165" spans="1:7" x14ac:dyDescent="0.3">
      <c r="A165" s="2"/>
      <c r="B165" s="6">
        <v>46081</v>
      </c>
      <c r="C165" s="3" t="s">
        <v>554</v>
      </c>
      <c r="D165" s="3" t="s">
        <v>254</v>
      </c>
      <c r="E165" s="7">
        <v>0</v>
      </c>
      <c r="F165" t="s">
        <v>232</v>
      </c>
      <c r="G165" t="s">
        <v>137</v>
      </c>
    </row>
    <row r="166" spans="1:7" x14ac:dyDescent="0.3">
      <c r="A166" s="2"/>
      <c r="B166" s="6">
        <v>46081</v>
      </c>
      <c r="C166" s="3" t="s">
        <v>141</v>
      </c>
      <c r="D166" s="3" t="s">
        <v>140</v>
      </c>
      <c r="E166" s="7">
        <v>-18812.25</v>
      </c>
      <c r="F166" t="s">
        <v>233</v>
      </c>
      <c r="G166" t="s">
        <v>137</v>
      </c>
    </row>
    <row r="167" spans="1:7" x14ac:dyDescent="0.3">
      <c r="A167" s="2"/>
      <c r="B167" s="6">
        <v>46081</v>
      </c>
      <c r="C167" s="3" t="s">
        <v>144</v>
      </c>
      <c r="D167" s="3" t="s">
        <v>255</v>
      </c>
      <c r="E167" s="7">
        <v>-25</v>
      </c>
      <c r="F167" t="s">
        <v>143</v>
      </c>
      <c r="G167" t="s">
        <v>137</v>
      </c>
    </row>
    <row r="168" spans="1:7" x14ac:dyDescent="0.3">
      <c r="A168" s="2"/>
      <c r="B168" s="6">
        <v>46081</v>
      </c>
      <c r="C168" s="3" t="s">
        <v>147</v>
      </c>
      <c r="D168" s="3" t="s">
        <v>255</v>
      </c>
      <c r="E168" s="7">
        <v>-982.77</v>
      </c>
      <c r="F168" t="s">
        <v>143</v>
      </c>
      <c r="G168" t="s">
        <v>137</v>
      </c>
    </row>
    <row r="169" spans="1:7" x14ac:dyDescent="0.3">
      <c r="A169" s="2"/>
      <c r="B169" s="6">
        <v>46081</v>
      </c>
      <c r="C169" s="3" t="s">
        <v>562</v>
      </c>
      <c r="D169" s="3" t="s">
        <v>255</v>
      </c>
      <c r="E169" s="7">
        <v>3682.5</v>
      </c>
      <c r="F169" t="s">
        <v>143</v>
      </c>
      <c r="G169" t="s">
        <v>137</v>
      </c>
    </row>
    <row r="170" spans="1:7" x14ac:dyDescent="0.3">
      <c r="A170" s="2"/>
      <c r="B170" s="6">
        <v>46081</v>
      </c>
      <c r="C170" s="3" t="s">
        <v>163</v>
      </c>
      <c r="D170" s="3" t="s">
        <v>162</v>
      </c>
      <c r="E170" s="7">
        <v>3212.09</v>
      </c>
      <c r="F170" t="s">
        <v>162</v>
      </c>
      <c r="G170" t="s">
        <v>161</v>
      </c>
    </row>
    <row r="171" spans="1:7" x14ac:dyDescent="0.3">
      <c r="A171" s="2"/>
      <c r="B171" s="6">
        <v>46081</v>
      </c>
      <c r="C171" s="3" t="s">
        <v>545</v>
      </c>
      <c r="D171" s="3" t="s">
        <v>256</v>
      </c>
      <c r="E171" s="7">
        <v>852.96999999999798</v>
      </c>
      <c r="F171" t="s">
        <v>162</v>
      </c>
      <c r="G171" t="s">
        <v>161</v>
      </c>
    </row>
    <row r="172" spans="1:7" x14ac:dyDescent="0.3">
      <c r="A172" s="2"/>
      <c r="B172" s="6">
        <v>46081</v>
      </c>
      <c r="C172" s="3" t="s">
        <v>547</v>
      </c>
      <c r="D172" s="3" t="s">
        <v>256</v>
      </c>
      <c r="E172" s="7">
        <v>1109.95</v>
      </c>
      <c r="F172" t="s">
        <v>162</v>
      </c>
      <c r="G172" t="s">
        <v>161</v>
      </c>
    </row>
    <row r="173" spans="1:7" x14ac:dyDescent="0.3">
      <c r="A173" s="2"/>
      <c r="B173" s="6">
        <v>46081</v>
      </c>
      <c r="C173" s="3" t="s">
        <v>168</v>
      </c>
      <c r="D173" s="3" t="s">
        <v>257</v>
      </c>
      <c r="E173" s="7">
        <v>-3884.12</v>
      </c>
      <c r="F173" t="s">
        <v>167</v>
      </c>
      <c r="G173" t="s">
        <v>161</v>
      </c>
    </row>
    <row r="174" spans="1:7" x14ac:dyDescent="0.3">
      <c r="A174" s="2"/>
      <c r="B174" s="6">
        <v>46081</v>
      </c>
      <c r="C174" s="3" t="s">
        <v>169</v>
      </c>
      <c r="D174" s="3" t="s">
        <v>257</v>
      </c>
      <c r="E174" s="7">
        <v>917.02999999999895</v>
      </c>
      <c r="F174" t="s">
        <v>167</v>
      </c>
      <c r="G174" t="s">
        <v>161</v>
      </c>
    </row>
    <row r="175" spans="1:7" x14ac:dyDescent="0.3">
      <c r="A175" s="2"/>
      <c r="B175" s="6">
        <v>46081</v>
      </c>
      <c r="C175" s="3" t="s">
        <v>170</v>
      </c>
      <c r="D175" s="3" t="s">
        <v>257</v>
      </c>
      <c r="E175" s="7">
        <v>9.9999999999909103E-3</v>
      </c>
      <c r="F175" t="s">
        <v>167</v>
      </c>
      <c r="G175" t="s">
        <v>161</v>
      </c>
    </row>
    <row r="176" spans="1:7" x14ac:dyDescent="0.3">
      <c r="A176" s="2"/>
      <c r="B176" s="6">
        <v>46081</v>
      </c>
      <c r="C176" s="3" t="s">
        <v>171</v>
      </c>
      <c r="D176" s="3" t="s">
        <v>257</v>
      </c>
      <c r="E176" s="7">
        <v>27.310000000000102</v>
      </c>
      <c r="F176" t="s">
        <v>167</v>
      </c>
      <c r="G176" t="s">
        <v>161</v>
      </c>
    </row>
    <row r="177" spans="1:7" x14ac:dyDescent="0.3">
      <c r="A177" s="2"/>
      <c r="B177" s="6">
        <v>46081</v>
      </c>
      <c r="C177" s="3" t="s">
        <v>173</v>
      </c>
      <c r="D177" s="3" t="s">
        <v>257</v>
      </c>
      <c r="E177" s="7">
        <v>-58163.71</v>
      </c>
      <c r="F177" t="s">
        <v>237</v>
      </c>
      <c r="G177" t="s">
        <v>161</v>
      </c>
    </row>
    <row r="178" spans="1:7" x14ac:dyDescent="0.3">
      <c r="A178" s="2"/>
      <c r="B178" s="6">
        <v>46081</v>
      </c>
      <c r="C178" s="3" t="s">
        <v>174</v>
      </c>
      <c r="D178" s="3" t="s">
        <v>257</v>
      </c>
      <c r="E178" s="7">
        <v>-250</v>
      </c>
      <c r="F178" t="s">
        <v>167</v>
      </c>
      <c r="G178" t="s">
        <v>161</v>
      </c>
    </row>
    <row r="179" spans="1:7" x14ac:dyDescent="0.3">
      <c r="A179" s="2"/>
      <c r="B179" s="6">
        <v>46112</v>
      </c>
      <c r="C179" s="3" t="s">
        <v>553</v>
      </c>
      <c r="D179" s="3" t="s">
        <v>254</v>
      </c>
      <c r="E179" s="7">
        <v>-53613.56</v>
      </c>
      <c r="F179" t="s">
        <v>232</v>
      </c>
      <c r="G179" t="s">
        <v>137</v>
      </c>
    </row>
    <row r="180" spans="1:7" x14ac:dyDescent="0.3">
      <c r="A180" s="2"/>
      <c r="B180" s="6">
        <v>46112</v>
      </c>
      <c r="C180" s="3" t="s">
        <v>554</v>
      </c>
      <c r="D180" s="3" t="s">
        <v>254</v>
      </c>
      <c r="E180" s="7">
        <v>0</v>
      </c>
      <c r="F180" t="s">
        <v>232</v>
      </c>
      <c r="G180" t="s">
        <v>137</v>
      </c>
    </row>
    <row r="181" spans="1:7" x14ac:dyDescent="0.3">
      <c r="A181" s="2"/>
      <c r="B181" s="6">
        <v>46112</v>
      </c>
      <c r="C181" s="3" t="s">
        <v>141</v>
      </c>
      <c r="D181" s="3" t="s">
        <v>140</v>
      </c>
      <c r="E181" s="7">
        <v>2557.0699999999902</v>
      </c>
      <c r="F181" t="s">
        <v>233</v>
      </c>
      <c r="G181" t="s">
        <v>137</v>
      </c>
    </row>
    <row r="182" spans="1:7" x14ac:dyDescent="0.3">
      <c r="A182" s="2"/>
      <c r="B182" s="6">
        <v>46112</v>
      </c>
      <c r="C182" s="3" t="s">
        <v>144</v>
      </c>
      <c r="D182" s="3" t="s">
        <v>255</v>
      </c>
      <c r="E182" s="7">
        <v>-25</v>
      </c>
      <c r="F182" t="s">
        <v>143</v>
      </c>
      <c r="G182" t="s">
        <v>137</v>
      </c>
    </row>
    <row r="183" spans="1:7" x14ac:dyDescent="0.3">
      <c r="A183" s="2"/>
      <c r="B183" s="6">
        <v>46112</v>
      </c>
      <c r="C183" s="3" t="s">
        <v>145</v>
      </c>
      <c r="D183" s="3" t="s">
        <v>255</v>
      </c>
      <c r="E183" s="7">
        <v>28.34</v>
      </c>
      <c r="F183" t="s">
        <v>143</v>
      </c>
      <c r="G183" t="s">
        <v>137</v>
      </c>
    </row>
    <row r="184" spans="1:7" x14ac:dyDescent="0.3">
      <c r="A184" s="2"/>
      <c r="B184" s="6">
        <v>46112</v>
      </c>
      <c r="C184" s="3" t="s">
        <v>147</v>
      </c>
      <c r="D184" s="3" t="s">
        <v>255</v>
      </c>
      <c r="E184" s="7">
        <v>4884</v>
      </c>
      <c r="F184" t="s">
        <v>143</v>
      </c>
      <c r="G184" t="s">
        <v>137</v>
      </c>
    </row>
    <row r="185" spans="1:7" x14ac:dyDescent="0.3">
      <c r="A185" s="2"/>
      <c r="B185" s="6">
        <v>46112</v>
      </c>
      <c r="C185" s="3" t="s">
        <v>562</v>
      </c>
      <c r="D185" s="3" t="s">
        <v>255</v>
      </c>
      <c r="E185" s="7">
        <v>-6.25</v>
      </c>
      <c r="F185" t="s">
        <v>143</v>
      </c>
      <c r="G185" t="s">
        <v>137</v>
      </c>
    </row>
    <row r="186" spans="1:7" x14ac:dyDescent="0.3">
      <c r="A186" s="2"/>
      <c r="B186" s="6">
        <v>46112</v>
      </c>
      <c r="C186" s="3" t="s">
        <v>148</v>
      </c>
      <c r="D186" s="3" t="s">
        <v>255</v>
      </c>
      <c r="E186" s="7">
        <v>-197.5</v>
      </c>
      <c r="F186" t="s">
        <v>143</v>
      </c>
      <c r="G186" t="s">
        <v>137</v>
      </c>
    </row>
    <row r="187" spans="1:7" x14ac:dyDescent="0.3">
      <c r="A187" s="2"/>
      <c r="B187" s="6">
        <v>46112</v>
      </c>
      <c r="C187" s="3" t="s">
        <v>163</v>
      </c>
      <c r="D187" s="3" t="s">
        <v>162</v>
      </c>
      <c r="E187" s="7">
        <v>-12221.04</v>
      </c>
      <c r="F187" t="s">
        <v>162</v>
      </c>
      <c r="G187" t="s">
        <v>161</v>
      </c>
    </row>
    <row r="188" spans="1:7" x14ac:dyDescent="0.3">
      <c r="A188" s="2"/>
      <c r="B188" s="6">
        <v>46112</v>
      </c>
      <c r="C188" s="3" t="s">
        <v>545</v>
      </c>
      <c r="D188" s="3" t="s">
        <v>256</v>
      </c>
      <c r="E188" s="7">
        <v>5383.4</v>
      </c>
      <c r="F188" t="s">
        <v>162</v>
      </c>
      <c r="G188" t="s">
        <v>161</v>
      </c>
    </row>
    <row r="189" spans="1:7" x14ac:dyDescent="0.3">
      <c r="A189" s="2"/>
      <c r="B189" s="6">
        <v>46112</v>
      </c>
      <c r="C189" s="3" t="s">
        <v>547</v>
      </c>
      <c r="D189" s="3" t="s">
        <v>256</v>
      </c>
      <c r="E189" s="7">
        <v>885.13</v>
      </c>
      <c r="F189" t="s">
        <v>162</v>
      </c>
      <c r="G189" t="s">
        <v>161</v>
      </c>
    </row>
    <row r="190" spans="1:7" x14ac:dyDescent="0.3">
      <c r="A190" s="2"/>
      <c r="B190" s="6">
        <v>46112</v>
      </c>
      <c r="C190" s="3" t="s">
        <v>168</v>
      </c>
      <c r="D190" s="3" t="s">
        <v>257</v>
      </c>
      <c r="E190" s="7">
        <v>610.49</v>
      </c>
      <c r="F190" t="s">
        <v>167</v>
      </c>
      <c r="G190" t="s">
        <v>161</v>
      </c>
    </row>
    <row r="191" spans="1:7" x14ac:dyDescent="0.3">
      <c r="A191" s="2"/>
      <c r="B191" s="6">
        <v>46112</v>
      </c>
      <c r="C191" s="3" t="s">
        <v>169</v>
      </c>
      <c r="D191" s="3" t="s">
        <v>257</v>
      </c>
      <c r="E191" s="7">
        <v>7610.94</v>
      </c>
      <c r="F191" t="s">
        <v>167</v>
      </c>
      <c r="G191" t="s">
        <v>161</v>
      </c>
    </row>
    <row r="192" spans="1:7" x14ac:dyDescent="0.3">
      <c r="A192" s="2"/>
      <c r="B192" s="6">
        <v>46112</v>
      </c>
      <c r="C192" s="3" t="s">
        <v>170</v>
      </c>
      <c r="D192" s="3" t="s">
        <v>257</v>
      </c>
      <c r="E192" s="7">
        <v>793.32</v>
      </c>
      <c r="F192" t="s">
        <v>167</v>
      </c>
      <c r="G192" t="s">
        <v>161</v>
      </c>
    </row>
    <row r="193" spans="1:7" x14ac:dyDescent="0.3">
      <c r="A193" s="2"/>
      <c r="B193" s="6">
        <v>46112</v>
      </c>
      <c r="C193" s="3" t="s">
        <v>171</v>
      </c>
      <c r="D193" s="3" t="s">
        <v>257</v>
      </c>
      <c r="E193" s="7">
        <v>433.44</v>
      </c>
      <c r="F193" t="s">
        <v>167</v>
      </c>
      <c r="G193" t="s">
        <v>161</v>
      </c>
    </row>
    <row r="194" spans="1:7" x14ac:dyDescent="0.3">
      <c r="A194" s="2"/>
      <c r="B194" s="6">
        <v>46112</v>
      </c>
      <c r="C194" s="3" t="s">
        <v>173</v>
      </c>
      <c r="D194" s="3" t="s">
        <v>257</v>
      </c>
      <c r="E194" s="7">
        <v>-47754.81</v>
      </c>
      <c r="F194" t="s">
        <v>237</v>
      </c>
      <c r="G194" t="s">
        <v>161</v>
      </c>
    </row>
    <row r="195" spans="1:7" x14ac:dyDescent="0.3">
      <c r="A195" s="2"/>
      <c r="B195" s="6">
        <v>46112</v>
      </c>
      <c r="C195" s="3" t="s">
        <v>174</v>
      </c>
      <c r="D195" s="3" t="s">
        <v>257</v>
      </c>
      <c r="E195" s="7">
        <v>2375</v>
      </c>
      <c r="F195" t="s">
        <v>167</v>
      </c>
      <c r="G195" t="s">
        <v>161</v>
      </c>
    </row>
  </sheetData>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859"/>
  <sheetViews>
    <sheetView showGridLines="0" workbookViewId="0">
      <pane ySplit="5" topLeftCell="A6" activePane="bottomLeft" state="frozen"/>
      <selection pane="bottomLeft"/>
    </sheetView>
  </sheetViews>
  <sheetFormatPr defaultRowHeight="14.4" x14ac:dyDescent="0.3"/>
  <cols>
    <col min="1" max="1" width="0.6640625" customWidth="1"/>
    <col min="2" max="2" width="60" customWidth="1"/>
    <col min="3" max="3" width="27" customWidth="1"/>
    <col min="4" max="4" width="40" customWidth="1"/>
    <col min="5" max="5" width="17" customWidth="1"/>
    <col min="6" max="6" width="14" customWidth="1"/>
    <col min="7" max="7" width="18" customWidth="1"/>
    <col min="8" max="8" width="31" customWidth="1"/>
    <col min="9" max="9" width="34" customWidth="1"/>
  </cols>
  <sheetData>
    <row r="1" spans="1:9" x14ac:dyDescent="0.3">
      <c r="A1" s="1" t="s">
        <v>386</v>
      </c>
      <c r="B1" s="2"/>
      <c r="C1" s="2"/>
      <c r="D1" s="2"/>
      <c r="E1" s="2"/>
      <c r="F1" s="2"/>
      <c r="G1" s="2"/>
    </row>
    <row r="2" spans="1:9" x14ac:dyDescent="0.3">
      <c r="A2" s="3" t="s">
        <v>258</v>
      </c>
      <c r="B2" s="2"/>
      <c r="C2" s="2"/>
      <c r="D2" s="2"/>
      <c r="E2" s="2"/>
      <c r="F2" s="2"/>
      <c r="G2" s="2"/>
    </row>
    <row r="3" spans="1:9" x14ac:dyDescent="0.3">
      <c r="A3" s="2"/>
      <c r="B3" s="2"/>
      <c r="C3" s="2"/>
      <c r="D3" s="2"/>
      <c r="E3" s="2"/>
      <c r="F3" s="2"/>
      <c r="G3" s="2"/>
    </row>
    <row r="4" spans="1:9" x14ac:dyDescent="0.3">
      <c r="A4" s="2"/>
      <c r="B4" s="2"/>
      <c r="C4" s="2"/>
      <c r="D4" s="2"/>
      <c r="E4" s="2"/>
      <c r="F4" s="2"/>
      <c r="G4" s="2"/>
    </row>
    <row r="5" spans="1:9" x14ac:dyDescent="0.3">
      <c r="A5" s="2"/>
      <c r="B5" s="4" t="s">
        <v>32</v>
      </c>
      <c r="C5" s="5" t="s">
        <v>248</v>
      </c>
      <c r="D5" s="5" t="s">
        <v>259</v>
      </c>
      <c r="E5" s="5" t="s">
        <v>260</v>
      </c>
      <c r="F5" s="5" t="s">
        <v>246</v>
      </c>
      <c r="G5" s="5" t="s">
        <v>261</v>
      </c>
      <c r="H5" s="36" t="s">
        <v>447</v>
      </c>
      <c r="I5" s="36" t="s">
        <v>448</v>
      </c>
    </row>
    <row r="6" spans="1:9" x14ac:dyDescent="0.3">
      <c r="A6" s="2"/>
      <c r="B6" s="3" t="s">
        <v>136</v>
      </c>
      <c r="C6" s="3"/>
      <c r="D6" s="3"/>
      <c r="E6" s="3"/>
      <c r="F6" s="6">
        <v>45688</v>
      </c>
      <c r="G6" s="7">
        <v>0</v>
      </c>
    </row>
    <row r="7" spans="1:9" x14ac:dyDescent="0.3">
      <c r="A7" s="2"/>
      <c r="B7" s="3" t="s">
        <v>137</v>
      </c>
      <c r="C7" s="3"/>
      <c r="D7" s="3"/>
      <c r="E7" s="3"/>
      <c r="F7" s="6">
        <v>45688</v>
      </c>
      <c r="G7" s="7">
        <v>0</v>
      </c>
    </row>
    <row r="8" spans="1:9" x14ac:dyDescent="0.3">
      <c r="A8" s="2"/>
      <c r="B8" s="3" t="s">
        <v>138</v>
      </c>
      <c r="C8" s="3"/>
      <c r="D8" s="3"/>
      <c r="E8" s="3"/>
      <c r="F8" s="6">
        <v>45688</v>
      </c>
      <c r="G8" s="7">
        <v>0</v>
      </c>
    </row>
    <row r="9" spans="1:9" x14ac:dyDescent="0.3">
      <c r="A9" s="2"/>
      <c r="B9" s="3" t="s">
        <v>553</v>
      </c>
      <c r="C9" s="3" t="s">
        <v>254</v>
      </c>
      <c r="D9" s="3" t="s">
        <v>262</v>
      </c>
      <c r="E9" s="3" t="s">
        <v>263</v>
      </c>
      <c r="F9" s="6">
        <v>45688</v>
      </c>
      <c r="G9" s="7">
        <v>214402.09</v>
      </c>
      <c r="H9" t="s">
        <v>232</v>
      </c>
      <c r="I9" t="s">
        <v>137</v>
      </c>
    </row>
    <row r="10" spans="1:9" x14ac:dyDescent="0.3">
      <c r="A10" s="2"/>
      <c r="B10" s="3" t="s">
        <v>554</v>
      </c>
      <c r="C10" s="3" t="s">
        <v>254</v>
      </c>
      <c r="D10" s="3" t="s">
        <v>262</v>
      </c>
      <c r="E10" s="3" t="s">
        <v>263</v>
      </c>
      <c r="F10" s="6">
        <v>45688</v>
      </c>
      <c r="G10" s="7">
        <v>10000</v>
      </c>
      <c r="H10" t="s">
        <v>232</v>
      </c>
      <c r="I10" t="s">
        <v>137</v>
      </c>
    </row>
    <row r="11" spans="1:9" x14ac:dyDescent="0.3">
      <c r="A11" s="2"/>
      <c r="B11" s="3" t="s">
        <v>139</v>
      </c>
      <c r="C11" s="3"/>
      <c r="D11" s="3"/>
      <c r="E11" s="3"/>
      <c r="F11" s="6">
        <v>45688</v>
      </c>
      <c r="G11" s="7">
        <v>224402.09</v>
      </c>
    </row>
    <row r="12" spans="1:9" x14ac:dyDescent="0.3">
      <c r="A12" s="2"/>
      <c r="B12" s="3" t="s">
        <v>140</v>
      </c>
      <c r="C12" s="3"/>
      <c r="D12" s="3"/>
      <c r="E12" s="3"/>
      <c r="F12" s="6">
        <v>45688</v>
      </c>
      <c r="G12" s="7">
        <v>0</v>
      </c>
    </row>
    <row r="13" spans="1:9" x14ac:dyDescent="0.3">
      <c r="A13" s="2"/>
      <c r="B13" s="3" t="s">
        <v>141</v>
      </c>
      <c r="C13" s="3" t="s">
        <v>140</v>
      </c>
      <c r="D13" s="3" t="s">
        <v>264</v>
      </c>
      <c r="E13" s="3" t="s">
        <v>263</v>
      </c>
      <c r="F13" s="6">
        <v>45688</v>
      </c>
      <c r="G13" s="7">
        <v>149976.18</v>
      </c>
      <c r="H13" t="s">
        <v>233</v>
      </c>
      <c r="I13" t="s">
        <v>137</v>
      </c>
    </row>
    <row r="14" spans="1:9" x14ac:dyDescent="0.3">
      <c r="A14" s="2"/>
      <c r="B14" s="3" t="s">
        <v>142</v>
      </c>
      <c r="C14" s="3"/>
      <c r="D14" s="3"/>
      <c r="E14" s="3"/>
      <c r="F14" s="6">
        <v>45688</v>
      </c>
      <c r="G14" s="7">
        <v>149976.18</v>
      </c>
    </row>
    <row r="15" spans="1:9" x14ac:dyDescent="0.3">
      <c r="A15" s="2"/>
      <c r="B15" s="3" t="s">
        <v>143</v>
      </c>
      <c r="C15" s="3" t="s">
        <v>255</v>
      </c>
      <c r="D15" s="3" t="s">
        <v>265</v>
      </c>
      <c r="E15" s="3" t="s">
        <v>263</v>
      </c>
      <c r="F15" s="6">
        <v>45688</v>
      </c>
      <c r="G15" s="7">
        <v>0</v>
      </c>
    </row>
    <row r="16" spans="1:9" x14ac:dyDescent="0.3">
      <c r="A16" s="2"/>
      <c r="B16" s="3" t="s">
        <v>146</v>
      </c>
      <c r="C16" s="3" t="s">
        <v>255</v>
      </c>
      <c r="D16" s="3" t="s">
        <v>266</v>
      </c>
      <c r="E16" s="3" t="s">
        <v>263</v>
      </c>
      <c r="F16" s="6">
        <v>45688</v>
      </c>
      <c r="G16" s="7">
        <v>0</v>
      </c>
      <c r="H16" t="s">
        <v>143</v>
      </c>
      <c r="I16" t="s">
        <v>137</v>
      </c>
    </row>
    <row r="17" spans="1:9" x14ac:dyDescent="0.3">
      <c r="A17" s="2"/>
      <c r="B17" s="3" t="s">
        <v>562</v>
      </c>
      <c r="C17" s="3" t="s">
        <v>255</v>
      </c>
      <c r="D17" s="3" t="s">
        <v>266</v>
      </c>
      <c r="E17" s="3" t="s">
        <v>263</v>
      </c>
      <c r="F17" s="6">
        <v>45688</v>
      </c>
      <c r="G17" s="7">
        <v>-100</v>
      </c>
      <c r="H17" t="s">
        <v>143</v>
      </c>
      <c r="I17" t="s">
        <v>137</v>
      </c>
    </row>
    <row r="18" spans="1:9" x14ac:dyDescent="0.3">
      <c r="A18" s="2"/>
      <c r="B18" s="3" t="s">
        <v>149</v>
      </c>
      <c r="C18" s="3"/>
      <c r="D18" s="3"/>
      <c r="E18" s="3"/>
      <c r="F18" s="6">
        <v>45688</v>
      </c>
      <c r="G18" s="7">
        <v>-100</v>
      </c>
    </row>
    <row r="19" spans="1:9" x14ac:dyDescent="0.3">
      <c r="A19" s="2"/>
      <c r="B19" s="3" t="s">
        <v>151</v>
      </c>
      <c r="C19" s="3" t="s">
        <v>255</v>
      </c>
      <c r="D19" s="3" t="s">
        <v>267</v>
      </c>
      <c r="E19" s="3" t="s">
        <v>263</v>
      </c>
      <c r="F19" s="6">
        <v>45688</v>
      </c>
      <c r="G19" s="7">
        <v>0</v>
      </c>
      <c r="H19" t="s">
        <v>143</v>
      </c>
      <c r="I19" t="s">
        <v>137</v>
      </c>
    </row>
    <row r="20" spans="1:9" x14ac:dyDescent="0.3">
      <c r="A20" s="2"/>
      <c r="B20" s="3" t="s">
        <v>152</v>
      </c>
      <c r="C20" s="3"/>
      <c r="D20" s="3"/>
      <c r="E20" s="3"/>
      <c r="F20" s="6">
        <v>45688</v>
      </c>
      <c r="G20" s="7">
        <v>-100</v>
      </c>
    </row>
    <row r="21" spans="1:9" x14ac:dyDescent="0.3">
      <c r="A21" s="2"/>
      <c r="B21" s="3" t="s">
        <v>153</v>
      </c>
      <c r="C21" s="3"/>
      <c r="D21" s="3"/>
      <c r="E21" s="3"/>
      <c r="F21" s="6">
        <v>45688</v>
      </c>
      <c r="G21" s="7">
        <v>374278.27</v>
      </c>
    </row>
    <row r="22" spans="1:9" x14ac:dyDescent="0.3">
      <c r="A22" s="2"/>
      <c r="B22" s="3" t="s">
        <v>154</v>
      </c>
      <c r="C22" s="3"/>
      <c r="D22" s="3"/>
      <c r="E22" s="3"/>
      <c r="F22" s="6">
        <v>45688</v>
      </c>
      <c r="G22" s="7">
        <v>0</v>
      </c>
    </row>
    <row r="23" spans="1:9" x14ac:dyDescent="0.3">
      <c r="A23" s="2"/>
      <c r="B23" s="3" t="s">
        <v>155</v>
      </c>
      <c r="C23" s="3" t="s">
        <v>268</v>
      </c>
      <c r="D23" s="3" t="s">
        <v>269</v>
      </c>
      <c r="E23" s="3" t="s">
        <v>263</v>
      </c>
      <c r="F23" s="6">
        <v>45688</v>
      </c>
      <c r="G23" s="7">
        <v>0</v>
      </c>
      <c r="H23" t="s">
        <v>235</v>
      </c>
      <c r="I23" t="s">
        <v>234</v>
      </c>
    </row>
    <row r="24" spans="1:9" x14ac:dyDescent="0.3">
      <c r="A24" s="2"/>
      <c r="B24" s="3" t="s">
        <v>542</v>
      </c>
      <c r="C24" s="3" t="s">
        <v>268</v>
      </c>
      <c r="D24" s="3" t="s">
        <v>269</v>
      </c>
      <c r="E24" s="3" t="s">
        <v>263</v>
      </c>
      <c r="F24" s="6">
        <v>45688</v>
      </c>
      <c r="G24" s="7">
        <v>100000</v>
      </c>
      <c r="H24" t="s">
        <v>235</v>
      </c>
      <c r="I24" t="s">
        <v>234</v>
      </c>
    </row>
    <row r="25" spans="1:9" x14ac:dyDescent="0.3">
      <c r="A25" s="2"/>
      <c r="B25" s="3" t="s">
        <v>156</v>
      </c>
      <c r="C25" s="3"/>
      <c r="D25" s="3"/>
      <c r="E25" s="3"/>
      <c r="F25" s="6">
        <v>45688</v>
      </c>
      <c r="G25" s="7">
        <v>100000</v>
      </c>
    </row>
    <row r="26" spans="1:9" x14ac:dyDescent="0.3">
      <c r="A26" s="2"/>
      <c r="B26" s="3" t="s">
        <v>157</v>
      </c>
      <c r="C26" s="3"/>
      <c r="D26" s="3"/>
      <c r="E26" s="3"/>
      <c r="F26" s="6">
        <v>45688</v>
      </c>
      <c r="G26" s="7">
        <v>100000</v>
      </c>
    </row>
    <row r="27" spans="1:9" x14ac:dyDescent="0.3">
      <c r="A27" s="2"/>
      <c r="B27" s="3" t="s">
        <v>158</v>
      </c>
      <c r="C27" s="3"/>
      <c r="D27" s="3"/>
      <c r="E27" s="3"/>
      <c r="F27" s="6">
        <v>45688</v>
      </c>
      <c r="G27" s="7">
        <v>474278.27</v>
      </c>
    </row>
    <row r="28" spans="1:9" x14ac:dyDescent="0.3">
      <c r="A28" s="2"/>
      <c r="B28" s="3" t="s">
        <v>159</v>
      </c>
      <c r="C28" s="3"/>
      <c r="D28" s="3"/>
      <c r="E28" s="3"/>
      <c r="F28" s="6">
        <v>45688</v>
      </c>
      <c r="G28" s="7">
        <v>0</v>
      </c>
    </row>
    <row r="29" spans="1:9" x14ac:dyDescent="0.3">
      <c r="A29" s="2"/>
      <c r="B29" s="3" t="s">
        <v>160</v>
      </c>
      <c r="C29" s="3"/>
      <c r="D29" s="3"/>
      <c r="E29" s="3"/>
      <c r="F29" s="6">
        <v>45688</v>
      </c>
      <c r="G29" s="7">
        <v>0</v>
      </c>
    </row>
    <row r="30" spans="1:9" x14ac:dyDescent="0.3">
      <c r="A30" s="2"/>
      <c r="B30" s="3" t="s">
        <v>161</v>
      </c>
      <c r="C30" s="3"/>
      <c r="D30" s="3"/>
      <c r="E30" s="3"/>
      <c r="F30" s="6">
        <v>45688</v>
      </c>
      <c r="G30" s="7">
        <v>0</v>
      </c>
    </row>
    <row r="31" spans="1:9" x14ac:dyDescent="0.3">
      <c r="A31" s="2"/>
      <c r="B31" s="3" t="s">
        <v>162</v>
      </c>
      <c r="C31" s="3"/>
      <c r="D31" s="3"/>
      <c r="E31" s="3"/>
      <c r="F31" s="6">
        <v>45688</v>
      </c>
      <c r="G31" s="7">
        <v>0</v>
      </c>
    </row>
    <row r="32" spans="1:9" x14ac:dyDescent="0.3">
      <c r="A32" s="2"/>
      <c r="B32" s="3" t="s">
        <v>163</v>
      </c>
      <c r="C32" s="3" t="s">
        <v>162</v>
      </c>
      <c r="D32" s="3" t="s">
        <v>270</v>
      </c>
      <c r="E32" s="3" t="s">
        <v>271</v>
      </c>
      <c r="F32" s="6">
        <v>45688</v>
      </c>
      <c r="G32" s="7">
        <v>7897.89</v>
      </c>
      <c r="H32" t="s">
        <v>162</v>
      </c>
      <c r="I32" t="s">
        <v>161</v>
      </c>
    </row>
    <row r="33" spans="1:9" x14ac:dyDescent="0.3">
      <c r="A33" s="2"/>
      <c r="B33" s="3" t="s">
        <v>164</v>
      </c>
      <c r="C33" s="3"/>
      <c r="D33" s="3"/>
      <c r="E33" s="3"/>
      <c r="F33" s="6">
        <v>45688</v>
      </c>
      <c r="G33" s="7">
        <v>7897.89</v>
      </c>
    </row>
    <row r="34" spans="1:9" x14ac:dyDescent="0.3">
      <c r="A34" s="2"/>
      <c r="B34" s="3" t="s">
        <v>165</v>
      </c>
      <c r="C34" s="3" t="s">
        <v>256</v>
      </c>
      <c r="D34" s="3" t="s">
        <v>272</v>
      </c>
      <c r="E34" s="3" t="s">
        <v>271</v>
      </c>
      <c r="F34" s="6">
        <v>45688</v>
      </c>
      <c r="G34" s="7">
        <v>0</v>
      </c>
    </row>
    <row r="35" spans="1:9" x14ac:dyDescent="0.3">
      <c r="A35" s="2"/>
      <c r="B35" s="3" t="s">
        <v>545</v>
      </c>
      <c r="C35" s="3" t="s">
        <v>256</v>
      </c>
      <c r="D35" s="3" t="s">
        <v>272</v>
      </c>
      <c r="E35" s="3" t="s">
        <v>271</v>
      </c>
      <c r="F35" s="6">
        <v>45688</v>
      </c>
      <c r="G35" s="7">
        <v>5097.04</v>
      </c>
      <c r="H35" t="s">
        <v>162</v>
      </c>
      <c r="I35" t="s">
        <v>161</v>
      </c>
    </row>
    <row r="36" spans="1:9" x14ac:dyDescent="0.3">
      <c r="A36" s="2"/>
      <c r="B36" s="3" t="s">
        <v>546</v>
      </c>
      <c r="C36" s="3" t="s">
        <v>256</v>
      </c>
      <c r="D36" s="3" t="s">
        <v>272</v>
      </c>
      <c r="E36" s="3" t="s">
        <v>271</v>
      </c>
      <c r="F36" s="6">
        <v>45688</v>
      </c>
      <c r="G36" s="7">
        <v>1131.44</v>
      </c>
      <c r="H36" t="s">
        <v>162</v>
      </c>
      <c r="I36" t="s">
        <v>161</v>
      </c>
    </row>
    <row r="37" spans="1:9" x14ac:dyDescent="0.3">
      <c r="A37" s="2"/>
      <c r="B37" s="3" t="s">
        <v>547</v>
      </c>
      <c r="C37" s="3" t="s">
        <v>256</v>
      </c>
      <c r="D37" s="3" t="s">
        <v>272</v>
      </c>
      <c r="E37" s="3" t="s">
        <v>271</v>
      </c>
      <c r="F37" s="6">
        <v>45688</v>
      </c>
      <c r="G37" s="7">
        <v>131.12</v>
      </c>
      <c r="H37" t="s">
        <v>162</v>
      </c>
      <c r="I37" t="s">
        <v>161</v>
      </c>
    </row>
    <row r="38" spans="1:9" x14ac:dyDescent="0.3">
      <c r="A38" s="2"/>
      <c r="B38" s="3" t="s">
        <v>166</v>
      </c>
      <c r="C38" s="3"/>
      <c r="D38" s="3"/>
      <c r="E38" s="3"/>
      <c r="F38" s="6">
        <v>45688</v>
      </c>
      <c r="G38" s="7">
        <v>6359.6</v>
      </c>
    </row>
    <row r="39" spans="1:9" x14ac:dyDescent="0.3">
      <c r="A39" s="2"/>
      <c r="B39" s="3" t="s">
        <v>167</v>
      </c>
      <c r="C39" s="3"/>
      <c r="D39" s="3"/>
      <c r="E39" s="3"/>
      <c r="F39" s="6">
        <v>45688</v>
      </c>
      <c r="G39" s="7">
        <v>0</v>
      </c>
    </row>
    <row r="40" spans="1:9" x14ac:dyDescent="0.3">
      <c r="A40" s="2"/>
      <c r="B40" s="3" t="s">
        <v>173</v>
      </c>
      <c r="C40" s="3" t="s">
        <v>257</v>
      </c>
      <c r="D40" s="3" t="s">
        <v>273</v>
      </c>
      <c r="E40" s="3" t="s">
        <v>271</v>
      </c>
      <c r="F40" s="6">
        <v>45688</v>
      </c>
      <c r="G40" s="7">
        <v>25130.63</v>
      </c>
      <c r="H40" t="s">
        <v>237</v>
      </c>
      <c r="I40" t="s">
        <v>161</v>
      </c>
    </row>
    <row r="41" spans="1:9" x14ac:dyDescent="0.3">
      <c r="A41" s="2"/>
      <c r="B41" s="3" t="s">
        <v>174</v>
      </c>
      <c r="C41" s="3" t="s">
        <v>257</v>
      </c>
      <c r="D41" s="3" t="s">
        <v>273</v>
      </c>
      <c r="E41" s="3" t="s">
        <v>271</v>
      </c>
      <c r="F41" s="6">
        <v>45688</v>
      </c>
      <c r="G41" s="7">
        <v>22000</v>
      </c>
      <c r="H41" t="s">
        <v>167</v>
      </c>
      <c r="I41" t="s">
        <v>161</v>
      </c>
    </row>
    <row r="42" spans="1:9" x14ac:dyDescent="0.3">
      <c r="A42" s="2"/>
      <c r="B42" s="3" t="s">
        <v>175</v>
      </c>
      <c r="C42" s="3"/>
      <c r="D42" s="3"/>
      <c r="E42" s="3"/>
      <c r="F42" s="6">
        <v>45688</v>
      </c>
      <c r="G42" s="7">
        <v>47130.63</v>
      </c>
    </row>
    <row r="43" spans="1:9" x14ac:dyDescent="0.3">
      <c r="A43" s="2"/>
      <c r="B43" s="3" t="s">
        <v>176</v>
      </c>
      <c r="C43" s="3"/>
      <c r="D43" s="3"/>
      <c r="E43" s="3"/>
      <c r="F43" s="6">
        <v>45688</v>
      </c>
      <c r="G43" s="7">
        <v>61388.12</v>
      </c>
    </row>
    <row r="44" spans="1:9" x14ac:dyDescent="0.3">
      <c r="A44" s="2"/>
      <c r="B44" s="3" t="s">
        <v>177</v>
      </c>
      <c r="C44" s="3"/>
      <c r="D44" s="3"/>
      <c r="E44" s="3"/>
      <c r="F44" s="6">
        <v>45688</v>
      </c>
      <c r="G44" s="7">
        <v>0</v>
      </c>
    </row>
    <row r="45" spans="1:9" x14ac:dyDescent="0.3">
      <c r="A45" s="2"/>
      <c r="B45" s="3" t="s">
        <v>178</v>
      </c>
      <c r="C45" s="3" t="s">
        <v>274</v>
      </c>
      <c r="D45" s="3" t="s">
        <v>275</v>
      </c>
      <c r="E45" s="3" t="s">
        <v>271</v>
      </c>
      <c r="F45" s="6">
        <v>45688</v>
      </c>
      <c r="G45" s="7">
        <v>90000</v>
      </c>
      <c r="H45" t="s">
        <v>239</v>
      </c>
      <c r="I45" t="s">
        <v>177</v>
      </c>
    </row>
    <row r="46" spans="1:9" x14ac:dyDescent="0.3">
      <c r="A46" s="2"/>
      <c r="B46" s="3" t="s">
        <v>179</v>
      </c>
      <c r="C46" s="3"/>
      <c r="D46" s="3"/>
      <c r="E46" s="3"/>
      <c r="F46" s="6">
        <v>45688</v>
      </c>
      <c r="G46" s="7">
        <v>90000</v>
      </c>
    </row>
    <row r="47" spans="1:9" x14ac:dyDescent="0.3">
      <c r="A47" s="2"/>
      <c r="B47" s="3" t="s">
        <v>14</v>
      </c>
      <c r="C47" s="3"/>
      <c r="D47" s="3"/>
      <c r="E47" s="3"/>
      <c r="F47" s="6">
        <v>45688</v>
      </c>
      <c r="G47" s="7">
        <v>151388.12</v>
      </c>
    </row>
    <row r="48" spans="1:9" x14ac:dyDescent="0.3">
      <c r="A48" s="2"/>
      <c r="B48" s="3" t="s">
        <v>180</v>
      </c>
      <c r="C48" s="3"/>
      <c r="D48" s="3"/>
      <c r="E48" s="3"/>
      <c r="F48" s="6">
        <v>45688</v>
      </c>
      <c r="G48" s="7">
        <v>0</v>
      </c>
    </row>
    <row r="49" spans="1:9" x14ac:dyDescent="0.3">
      <c r="A49" s="2"/>
      <c r="B49" s="3" t="s">
        <v>181</v>
      </c>
      <c r="C49" s="3" t="s">
        <v>180</v>
      </c>
      <c r="D49" s="3" t="s">
        <v>276</v>
      </c>
      <c r="E49" s="3" t="s">
        <v>180</v>
      </c>
      <c r="F49" s="6">
        <v>45688</v>
      </c>
      <c r="G49" s="7">
        <v>0</v>
      </c>
      <c r="H49" t="s">
        <v>240</v>
      </c>
      <c r="I49" t="s">
        <v>180</v>
      </c>
    </row>
    <row r="50" spans="1:9" x14ac:dyDescent="0.3">
      <c r="A50" s="2"/>
      <c r="B50" s="3" t="s">
        <v>563</v>
      </c>
      <c r="C50" s="3" t="s">
        <v>180</v>
      </c>
      <c r="D50" s="3" t="s">
        <v>277</v>
      </c>
      <c r="E50" s="3" t="s">
        <v>180</v>
      </c>
      <c r="F50" s="6">
        <v>45688</v>
      </c>
      <c r="G50" s="7">
        <v>0</v>
      </c>
      <c r="H50" t="s">
        <v>240</v>
      </c>
      <c r="I50" t="s">
        <v>180</v>
      </c>
    </row>
    <row r="51" spans="1:9" x14ac:dyDescent="0.3">
      <c r="A51" s="2"/>
      <c r="B51" s="3" t="s">
        <v>564</v>
      </c>
      <c r="C51" s="3" t="s">
        <v>180</v>
      </c>
      <c r="D51" s="3" t="s">
        <v>278</v>
      </c>
      <c r="E51" s="3" t="s">
        <v>180</v>
      </c>
      <c r="F51" s="6">
        <v>45688</v>
      </c>
      <c r="G51" s="7">
        <v>-520.94000000000005</v>
      </c>
      <c r="H51" t="s">
        <v>240</v>
      </c>
      <c r="I51" t="s">
        <v>180</v>
      </c>
    </row>
    <row r="52" spans="1:9" x14ac:dyDescent="0.3">
      <c r="A52" s="2"/>
      <c r="B52" s="3" t="s">
        <v>565</v>
      </c>
      <c r="C52" s="3"/>
      <c r="D52" s="3"/>
      <c r="E52" s="3"/>
      <c r="F52" s="6">
        <v>45688</v>
      </c>
      <c r="G52" s="7">
        <v>-520.94000000000005</v>
      </c>
    </row>
    <row r="53" spans="1:9" x14ac:dyDescent="0.3">
      <c r="A53" s="2"/>
      <c r="B53" s="3" t="s">
        <v>185</v>
      </c>
      <c r="C53" s="3" t="s">
        <v>180</v>
      </c>
      <c r="D53" s="3" t="s">
        <v>279</v>
      </c>
      <c r="E53" s="3" t="s">
        <v>180</v>
      </c>
      <c r="F53" s="6">
        <v>45688</v>
      </c>
      <c r="G53" s="7">
        <v>406280.27</v>
      </c>
      <c r="H53" t="s">
        <v>240</v>
      </c>
      <c r="I53" t="s">
        <v>180</v>
      </c>
    </row>
    <row r="54" spans="1:9" x14ac:dyDescent="0.3">
      <c r="A54" s="2"/>
      <c r="B54" s="3" t="s">
        <v>186</v>
      </c>
      <c r="C54" s="3" t="s">
        <v>180</v>
      </c>
      <c r="D54" s="3" t="s">
        <v>278</v>
      </c>
      <c r="E54" s="3" t="s">
        <v>180</v>
      </c>
      <c r="F54" s="6">
        <v>45688</v>
      </c>
      <c r="G54" s="7">
        <v>0</v>
      </c>
    </row>
    <row r="55" spans="1:9" x14ac:dyDescent="0.3">
      <c r="A55" s="2"/>
      <c r="B55" s="3" t="s">
        <v>12</v>
      </c>
      <c r="C55" s="3" t="s">
        <v>180</v>
      </c>
      <c r="D55" s="3"/>
      <c r="E55" s="3" t="s">
        <v>180</v>
      </c>
      <c r="F55" s="6">
        <v>45688</v>
      </c>
      <c r="G55" s="7">
        <v>-82869.179999999993</v>
      </c>
    </row>
    <row r="56" spans="1:9" x14ac:dyDescent="0.3">
      <c r="A56" s="2"/>
      <c r="B56" s="3" t="s">
        <v>15</v>
      </c>
      <c r="C56" s="3"/>
      <c r="D56" s="3"/>
      <c r="E56" s="3"/>
      <c r="F56" s="6">
        <v>45688</v>
      </c>
      <c r="G56" s="7">
        <v>322890.15000000002</v>
      </c>
    </row>
    <row r="57" spans="1:9" x14ac:dyDescent="0.3">
      <c r="A57" s="2"/>
      <c r="B57" s="3" t="s">
        <v>187</v>
      </c>
      <c r="C57" s="3"/>
      <c r="D57" s="3"/>
      <c r="E57" s="3"/>
      <c r="F57" s="6">
        <v>45688</v>
      </c>
      <c r="G57" s="7">
        <v>474278.27</v>
      </c>
    </row>
    <row r="58" spans="1:9" x14ac:dyDescent="0.3">
      <c r="A58" s="2"/>
      <c r="B58" s="3" t="s">
        <v>136</v>
      </c>
      <c r="C58" s="3"/>
      <c r="D58" s="3"/>
      <c r="E58" s="3"/>
      <c r="F58" s="6">
        <v>45716</v>
      </c>
      <c r="G58" s="7">
        <v>0</v>
      </c>
    </row>
    <row r="59" spans="1:9" x14ac:dyDescent="0.3">
      <c r="A59" s="2"/>
      <c r="B59" s="3" t="s">
        <v>137</v>
      </c>
      <c r="C59" s="3"/>
      <c r="D59" s="3"/>
      <c r="E59" s="3"/>
      <c r="F59" s="6">
        <v>45716</v>
      </c>
      <c r="G59" s="7">
        <v>0</v>
      </c>
    </row>
    <row r="60" spans="1:9" x14ac:dyDescent="0.3">
      <c r="A60" s="2"/>
      <c r="B60" s="3" t="s">
        <v>138</v>
      </c>
      <c r="C60" s="3"/>
      <c r="D60" s="3"/>
      <c r="E60" s="3"/>
      <c r="F60" s="6">
        <v>45716</v>
      </c>
      <c r="G60" s="7">
        <v>0</v>
      </c>
    </row>
    <row r="61" spans="1:9" x14ac:dyDescent="0.3">
      <c r="A61" s="2"/>
      <c r="B61" s="3" t="s">
        <v>553</v>
      </c>
      <c r="C61" s="3" t="s">
        <v>254</v>
      </c>
      <c r="D61" s="3" t="s">
        <v>262</v>
      </c>
      <c r="E61" s="3" t="s">
        <v>263</v>
      </c>
      <c r="F61" s="6">
        <v>45716</v>
      </c>
      <c r="G61" s="7">
        <v>180936.3</v>
      </c>
      <c r="H61" t="s">
        <v>232</v>
      </c>
      <c r="I61" t="s">
        <v>137</v>
      </c>
    </row>
    <row r="62" spans="1:9" x14ac:dyDescent="0.3">
      <c r="A62" s="2"/>
      <c r="B62" s="3" t="s">
        <v>554</v>
      </c>
      <c r="C62" s="3" t="s">
        <v>254</v>
      </c>
      <c r="D62" s="3" t="s">
        <v>262</v>
      </c>
      <c r="E62" s="3" t="s">
        <v>263</v>
      </c>
      <c r="F62" s="6">
        <v>45716</v>
      </c>
      <c r="G62" s="7">
        <v>10000</v>
      </c>
      <c r="H62" t="s">
        <v>232</v>
      </c>
      <c r="I62" t="s">
        <v>137</v>
      </c>
    </row>
    <row r="63" spans="1:9" x14ac:dyDescent="0.3">
      <c r="A63" s="2"/>
      <c r="B63" s="3" t="s">
        <v>139</v>
      </c>
      <c r="C63" s="3"/>
      <c r="D63" s="3"/>
      <c r="E63" s="3"/>
      <c r="F63" s="6">
        <v>45716</v>
      </c>
      <c r="G63" s="7">
        <v>190936.3</v>
      </c>
    </row>
    <row r="64" spans="1:9" x14ac:dyDescent="0.3">
      <c r="A64" s="2"/>
      <c r="B64" s="3" t="s">
        <v>140</v>
      </c>
      <c r="C64" s="3"/>
      <c r="D64" s="3"/>
      <c r="E64" s="3"/>
      <c r="F64" s="6">
        <v>45716</v>
      </c>
      <c r="G64" s="7">
        <v>0</v>
      </c>
    </row>
    <row r="65" spans="1:9" x14ac:dyDescent="0.3">
      <c r="A65" s="2"/>
      <c r="B65" s="3" t="s">
        <v>141</v>
      </c>
      <c r="C65" s="3" t="s">
        <v>140</v>
      </c>
      <c r="D65" s="3" t="s">
        <v>264</v>
      </c>
      <c r="E65" s="3" t="s">
        <v>263</v>
      </c>
      <c r="F65" s="6">
        <v>45716</v>
      </c>
      <c r="G65" s="7">
        <v>233095.72</v>
      </c>
      <c r="H65" t="s">
        <v>233</v>
      </c>
      <c r="I65" t="s">
        <v>137</v>
      </c>
    </row>
    <row r="66" spans="1:9" x14ac:dyDescent="0.3">
      <c r="A66" s="2"/>
      <c r="B66" s="3" t="s">
        <v>142</v>
      </c>
      <c r="C66" s="3"/>
      <c r="D66" s="3"/>
      <c r="E66" s="3"/>
      <c r="F66" s="6">
        <v>45716</v>
      </c>
      <c r="G66" s="7">
        <v>233095.72</v>
      </c>
    </row>
    <row r="67" spans="1:9" x14ac:dyDescent="0.3">
      <c r="A67" s="2"/>
      <c r="B67" s="3" t="s">
        <v>143</v>
      </c>
      <c r="C67" s="3" t="s">
        <v>255</v>
      </c>
      <c r="D67" s="3" t="s">
        <v>265</v>
      </c>
      <c r="E67" s="3" t="s">
        <v>263</v>
      </c>
      <c r="F67" s="6">
        <v>45716</v>
      </c>
      <c r="G67" s="7">
        <v>0</v>
      </c>
    </row>
    <row r="68" spans="1:9" x14ac:dyDescent="0.3">
      <c r="A68" s="2"/>
      <c r="B68" s="3" t="s">
        <v>146</v>
      </c>
      <c r="C68" s="3" t="s">
        <v>255</v>
      </c>
      <c r="D68" s="3" t="s">
        <v>266</v>
      </c>
      <c r="E68" s="3" t="s">
        <v>263</v>
      </c>
      <c r="F68" s="6">
        <v>45716</v>
      </c>
      <c r="G68" s="7">
        <v>0</v>
      </c>
      <c r="H68" t="s">
        <v>143</v>
      </c>
      <c r="I68" t="s">
        <v>137</v>
      </c>
    </row>
    <row r="69" spans="1:9" x14ac:dyDescent="0.3">
      <c r="A69" s="2"/>
      <c r="B69" s="3" t="s">
        <v>562</v>
      </c>
      <c r="C69" s="3" t="s">
        <v>255</v>
      </c>
      <c r="D69" s="3" t="s">
        <v>266</v>
      </c>
      <c r="E69" s="3" t="s">
        <v>263</v>
      </c>
      <c r="F69" s="6">
        <v>45716</v>
      </c>
      <c r="G69" s="7">
        <v>-150</v>
      </c>
      <c r="H69" t="s">
        <v>143</v>
      </c>
      <c r="I69" t="s">
        <v>137</v>
      </c>
    </row>
    <row r="70" spans="1:9" x14ac:dyDescent="0.3">
      <c r="A70" s="2"/>
      <c r="B70" s="3" t="s">
        <v>149</v>
      </c>
      <c r="C70" s="3"/>
      <c r="D70" s="3"/>
      <c r="E70" s="3"/>
      <c r="F70" s="6">
        <v>45716</v>
      </c>
      <c r="G70" s="7">
        <v>-150</v>
      </c>
    </row>
    <row r="71" spans="1:9" x14ac:dyDescent="0.3">
      <c r="A71" s="2"/>
      <c r="B71" s="3" t="s">
        <v>151</v>
      </c>
      <c r="C71" s="3" t="s">
        <v>255</v>
      </c>
      <c r="D71" s="3" t="s">
        <v>267</v>
      </c>
      <c r="E71" s="3" t="s">
        <v>263</v>
      </c>
      <c r="F71" s="6">
        <v>45716</v>
      </c>
      <c r="G71" s="7">
        <v>0</v>
      </c>
      <c r="H71" t="s">
        <v>143</v>
      </c>
      <c r="I71" t="s">
        <v>137</v>
      </c>
    </row>
    <row r="72" spans="1:9" x14ac:dyDescent="0.3">
      <c r="A72" s="2"/>
      <c r="B72" s="3" t="s">
        <v>152</v>
      </c>
      <c r="C72" s="3"/>
      <c r="D72" s="3"/>
      <c r="E72" s="3"/>
      <c r="F72" s="6">
        <v>45716</v>
      </c>
      <c r="G72" s="7">
        <v>-150</v>
      </c>
    </row>
    <row r="73" spans="1:9" x14ac:dyDescent="0.3">
      <c r="A73" s="2"/>
      <c r="B73" s="3" t="s">
        <v>153</v>
      </c>
      <c r="C73" s="3"/>
      <c r="D73" s="3"/>
      <c r="E73" s="3"/>
      <c r="F73" s="6">
        <v>45716</v>
      </c>
      <c r="G73" s="7">
        <v>423882.02</v>
      </c>
    </row>
    <row r="74" spans="1:9" x14ac:dyDescent="0.3">
      <c r="A74" s="2"/>
      <c r="B74" s="3" t="s">
        <v>154</v>
      </c>
      <c r="C74" s="3"/>
      <c r="D74" s="3"/>
      <c r="E74" s="3"/>
      <c r="F74" s="6">
        <v>45716</v>
      </c>
      <c r="G74" s="7">
        <v>0</v>
      </c>
    </row>
    <row r="75" spans="1:9" x14ac:dyDescent="0.3">
      <c r="A75" s="2"/>
      <c r="B75" s="3" t="s">
        <v>155</v>
      </c>
      <c r="C75" s="3" t="s">
        <v>268</v>
      </c>
      <c r="D75" s="3" t="s">
        <v>269</v>
      </c>
      <c r="E75" s="3" t="s">
        <v>263</v>
      </c>
      <c r="F75" s="6">
        <v>45716</v>
      </c>
      <c r="G75" s="7">
        <v>0</v>
      </c>
      <c r="H75" t="s">
        <v>235</v>
      </c>
      <c r="I75" t="s">
        <v>234</v>
      </c>
    </row>
    <row r="76" spans="1:9" x14ac:dyDescent="0.3">
      <c r="A76" s="2"/>
      <c r="B76" s="3" t="s">
        <v>542</v>
      </c>
      <c r="C76" s="3" t="s">
        <v>268</v>
      </c>
      <c r="D76" s="3" t="s">
        <v>269</v>
      </c>
      <c r="E76" s="3" t="s">
        <v>263</v>
      </c>
      <c r="F76" s="6">
        <v>45716</v>
      </c>
      <c r="G76" s="7">
        <v>100000</v>
      </c>
      <c r="H76" t="s">
        <v>235</v>
      </c>
      <c r="I76" t="s">
        <v>234</v>
      </c>
    </row>
    <row r="77" spans="1:9" x14ac:dyDescent="0.3">
      <c r="A77" s="2"/>
      <c r="B77" s="3" t="s">
        <v>156</v>
      </c>
      <c r="C77" s="3"/>
      <c r="D77" s="3"/>
      <c r="E77" s="3"/>
      <c r="F77" s="6">
        <v>45716</v>
      </c>
      <c r="G77" s="7">
        <v>100000</v>
      </c>
    </row>
    <row r="78" spans="1:9" x14ac:dyDescent="0.3">
      <c r="A78" s="2"/>
      <c r="B78" s="3" t="s">
        <v>157</v>
      </c>
      <c r="C78" s="3"/>
      <c r="D78" s="3"/>
      <c r="E78" s="3"/>
      <c r="F78" s="6">
        <v>45716</v>
      </c>
      <c r="G78" s="7">
        <v>100000</v>
      </c>
    </row>
    <row r="79" spans="1:9" x14ac:dyDescent="0.3">
      <c r="A79" s="2"/>
      <c r="B79" s="3" t="s">
        <v>158</v>
      </c>
      <c r="C79" s="3"/>
      <c r="D79" s="3"/>
      <c r="E79" s="3"/>
      <c r="F79" s="6">
        <v>45716</v>
      </c>
      <c r="G79" s="7">
        <v>523882.02</v>
      </c>
    </row>
    <row r="80" spans="1:9" x14ac:dyDescent="0.3">
      <c r="A80" s="2"/>
      <c r="B80" s="3" t="s">
        <v>159</v>
      </c>
      <c r="C80" s="3"/>
      <c r="D80" s="3"/>
      <c r="E80" s="3"/>
      <c r="F80" s="6">
        <v>45716</v>
      </c>
      <c r="G80" s="7">
        <v>0</v>
      </c>
    </row>
    <row r="81" spans="1:9" x14ac:dyDescent="0.3">
      <c r="A81" s="2"/>
      <c r="B81" s="3" t="s">
        <v>160</v>
      </c>
      <c r="C81" s="3"/>
      <c r="D81" s="3"/>
      <c r="E81" s="3"/>
      <c r="F81" s="6">
        <v>45716</v>
      </c>
      <c r="G81" s="7">
        <v>0</v>
      </c>
    </row>
    <row r="82" spans="1:9" x14ac:dyDescent="0.3">
      <c r="A82" s="2"/>
      <c r="B82" s="3" t="s">
        <v>161</v>
      </c>
      <c r="C82" s="3"/>
      <c r="D82" s="3"/>
      <c r="E82" s="3"/>
      <c r="F82" s="6">
        <v>45716</v>
      </c>
      <c r="G82" s="7">
        <v>0</v>
      </c>
    </row>
    <row r="83" spans="1:9" x14ac:dyDescent="0.3">
      <c r="A83" s="2"/>
      <c r="B83" s="3" t="s">
        <v>162</v>
      </c>
      <c r="C83" s="3"/>
      <c r="D83" s="3"/>
      <c r="E83" s="3"/>
      <c r="F83" s="6">
        <v>45716</v>
      </c>
      <c r="G83" s="7">
        <v>0</v>
      </c>
    </row>
    <row r="84" spans="1:9" x14ac:dyDescent="0.3">
      <c r="A84" s="2"/>
      <c r="B84" s="3" t="s">
        <v>163</v>
      </c>
      <c r="C84" s="3" t="s">
        <v>162</v>
      </c>
      <c r="D84" s="3" t="s">
        <v>270</v>
      </c>
      <c r="E84" s="3" t="s">
        <v>271</v>
      </c>
      <c r="F84" s="6">
        <v>45716</v>
      </c>
      <c r="G84" s="7">
        <v>15705</v>
      </c>
      <c r="H84" t="s">
        <v>162</v>
      </c>
      <c r="I84" t="s">
        <v>161</v>
      </c>
    </row>
    <row r="85" spans="1:9" x14ac:dyDescent="0.3">
      <c r="A85" s="2"/>
      <c r="B85" s="3" t="s">
        <v>164</v>
      </c>
      <c r="C85" s="3"/>
      <c r="D85" s="3"/>
      <c r="E85" s="3"/>
      <c r="F85" s="6">
        <v>45716</v>
      </c>
      <c r="G85" s="7">
        <v>15705</v>
      </c>
    </row>
    <row r="86" spans="1:9" x14ac:dyDescent="0.3">
      <c r="A86" s="2"/>
      <c r="B86" s="3" t="s">
        <v>165</v>
      </c>
      <c r="C86" s="3" t="s">
        <v>256</v>
      </c>
      <c r="D86" s="3" t="s">
        <v>272</v>
      </c>
      <c r="E86" s="3" t="s">
        <v>271</v>
      </c>
      <c r="F86" s="6">
        <v>45716</v>
      </c>
      <c r="G86" s="7">
        <v>0</v>
      </c>
    </row>
    <row r="87" spans="1:9" x14ac:dyDescent="0.3">
      <c r="A87" s="2"/>
      <c r="B87" s="3" t="s">
        <v>545</v>
      </c>
      <c r="C87" s="3" t="s">
        <v>256</v>
      </c>
      <c r="D87" s="3" t="s">
        <v>272</v>
      </c>
      <c r="E87" s="3" t="s">
        <v>271</v>
      </c>
      <c r="F87" s="6">
        <v>45716</v>
      </c>
      <c r="G87" s="7">
        <v>5923.26</v>
      </c>
      <c r="H87" t="s">
        <v>162</v>
      </c>
      <c r="I87" t="s">
        <v>161</v>
      </c>
    </row>
    <row r="88" spans="1:9" x14ac:dyDescent="0.3">
      <c r="A88" s="2"/>
      <c r="B88" s="3" t="s">
        <v>546</v>
      </c>
      <c r="C88" s="3" t="s">
        <v>256</v>
      </c>
      <c r="D88" s="3" t="s">
        <v>272</v>
      </c>
      <c r="E88" s="3" t="s">
        <v>271</v>
      </c>
      <c r="F88" s="6">
        <v>45716</v>
      </c>
      <c r="G88" s="7">
        <v>0</v>
      </c>
      <c r="H88" t="s">
        <v>162</v>
      </c>
      <c r="I88" t="s">
        <v>161</v>
      </c>
    </row>
    <row r="89" spans="1:9" x14ac:dyDescent="0.3">
      <c r="A89" s="2"/>
      <c r="B89" s="3" t="s">
        <v>547</v>
      </c>
      <c r="C89" s="3" t="s">
        <v>256</v>
      </c>
      <c r="D89" s="3" t="s">
        <v>272</v>
      </c>
      <c r="E89" s="3" t="s">
        <v>271</v>
      </c>
      <c r="F89" s="6">
        <v>45716</v>
      </c>
      <c r="G89" s="7">
        <v>847.55</v>
      </c>
      <c r="H89" t="s">
        <v>162</v>
      </c>
      <c r="I89" t="s">
        <v>161</v>
      </c>
    </row>
    <row r="90" spans="1:9" x14ac:dyDescent="0.3">
      <c r="A90" s="2"/>
      <c r="B90" s="3" t="s">
        <v>166</v>
      </c>
      <c r="C90" s="3"/>
      <c r="D90" s="3"/>
      <c r="E90" s="3"/>
      <c r="F90" s="6">
        <v>45716</v>
      </c>
      <c r="G90" s="7">
        <v>6770.81</v>
      </c>
    </row>
    <row r="91" spans="1:9" x14ac:dyDescent="0.3">
      <c r="A91" s="2"/>
      <c r="B91" s="3" t="s">
        <v>167</v>
      </c>
      <c r="C91" s="3"/>
      <c r="D91" s="3"/>
      <c r="E91" s="3"/>
      <c r="F91" s="6">
        <v>45716</v>
      </c>
      <c r="G91" s="7">
        <v>0</v>
      </c>
    </row>
    <row r="92" spans="1:9" x14ac:dyDescent="0.3">
      <c r="A92" s="2"/>
      <c r="B92" s="3" t="s">
        <v>173</v>
      </c>
      <c r="C92" s="3" t="s">
        <v>257</v>
      </c>
      <c r="D92" s="3" t="s">
        <v>273</v>
      </c>
      <c r="E92" s="3" t="s">
        <v>271</v>
      </c>
      <c r="F92" s="6">
        <v>45716</v>
      </c>
      <c r="G92" s="7">
        <v>25130.63</v>
      </c>
      <c r="H92" t="s">
        <v>237</v>
      </c>
      <c r="I92" t="s">
        <v>161</v>
      </c>
    </row>
    <row r="93" spans="1:9" x14ac:dyDescent="0.3">
      <c r="A93" s="2"/>
      <c r="B93" s="3" t="s">
        <v>174</v>
      </c>
      <c r="C93" s="3" t="s">
        <v>257</v>
      </c>
      <c r="D93" s="3" t="s">
        <v>273</v>
      </c>
      <c r="E93" s="3" t="s">
        <v>271</v>
      </c>
      <c r="F93" s="6">
        <v>45716</v>
      </c>
      <c r="G93" s="7">
        <v>31750</v>
      </c>
      <c r="H93" t="s">
        <v>167</v>
      </c>
      <c r="I93" t="s">
        <v>161</v>
      </c>
    </row>
    <row r="94" spans="1:9" x14ac:dyDescent="0.3">
      <c r="A94" s="2"/>
      <c r="B94" s="3" t="s">
        <v>175</v>
      </c>
      <c r="C94" s="3"/>
      <c r="D94" s="3"/>
      <c r="E94" s="3"/>
      <c r="F94" s="6">
        <v>45716</v>
      </c>
      <c r="G94" s="7">
        <v>56880.63</v>
      </c>
    </row>
    <row r="95" spans="1:9" x14ac:dyDescent="0.3">
      <c r="A95" s="2"/>
      <c r="B95" s="3" t="s">
        <v>176</v>
      </c>
      <c r="C95" s="3"/>
      <c r="D95" s="3"/>
      <c r="E95" s="3"/>
      <c r="F95" s="6">
        <v>45716</v>
      </c>
      <c r="G95" s="7">
        <v>79356.44</v>
      </c>
    </row>
    <row r="96" spans="1:9" x14ac:dyDescent="0.3">
      <c r="A96" s="2"/>
      <c r="B96" s="3" t="s">
        <v>177</v>
      </c>
      <c r="C96" s="3"/>
      <c r="D96" s="3"/>
      <c r="E96" s="3"/>
      <c r="F96" s="6">
        <v>45716</v>
      </c>
      <c r="G96" s="7">
        <v>0</v>
      </c>
    </row>
    <row r="97" spans="1:9" x14ac:dyDescent="0.3">
      <c r="A97" s="2"/>
      <c r="B97" s="3" t="s">
        <v>178</v>
      </c>
      <c r="C97" s="3" t="s">
        <v>274</v>
      </c>
      <c r="D97" s="3" t="s">
        <v>275</v>
      </c>
      <c r="E97" s="3" t="s">
        <v>271</v>
      </c>
      <c r="F97" s="6">
        <v>45716</v>
      </c>
      <c r="G97" s="7">
        <v>90000</v>
      </c>
      <c r="H97" t="s">
        <v>239</v>
      </c>
      <c r="I97" t="s">
        <v>177</v>
      </c>
    </row>
    <row r="98" spans="1:9" x14ac:dyDescent="0.3">
      <c r="A98" s="2"/>
      <c r="B98" s="3" t="s">
        <v>179</v>
      </c>
      <c r="C98" s="3"/>
      <c r="D98" s="3"/>
      <c r="E98" s="3"/>
      <c r="F98" s="6">
        <v>45716</v>
      </c>
      <c r="G98" s="7">
        <v>90000</v>
      </c>
    </row>
    <row r="99" spans="1:9" x14ac:dyDescent="0.3">
      <c r="A99" s="2"/>
      <c r="B99" s="3" t="s">
        <v>14</v>
      </c>
      <c r="C99" s="3"/>
      <c r="D99" s="3"/>
      <c r="E99" s="3"/>
      <c r="F99" s="6">
        <v>45716</v>
      </c>
      <c r="G99" s="7">
        <v>169356.44</v>
      </c>
    </row>
    <row r="100" spans="1:9" x14ac:dyDescent="0.3">
      <c r="A100" s="2"/>
      <c r="B100" s="3" t="s">
        <v>180</v>
      </c>
      <c r="C100" s="3"/>
      <c r="D100" s="3"/>
      <c r="E100" s="3"/>
      <c r="F100" s="6">
        <v>45716</v>
      </c>
      <c r="G100" s="7">
        <v>0</v>
      </c>
    </row>
    <row r="101" spans="1:9" x14ac:dyDescent="0.3">
      <c r="A101" s="2"/>
      <c r="B101" s="3" t="s">
        <v>181</v>
      </c>
      <c r="C101" s="3" t="s">
        <v>180</v>
      </c>
      <c r="D101" s="3" t="s">
        <v>276</v>
      </c>
      <c r="E101" s="3" t="s">
        <v>180</v>
      </c>
      <c r="F101" s="6">
        <v>45716</v>
      </c>
      <c r="G101" s="7">
        <v>0</v>
      </c>
      <c r="H101" t="s">
        <v>240</v>
      </c>
      <c r="I101" t="s">
        <v>180</v>
      </c>
    </row>
    <row r="102" spans="1:9" x14ac:dyDescent="0.3">
      <c r="A102" s="2"/>
      <c r="B102" s="3" t="s">
        <v>563</v>
      </c>
      <c r="C102" s="3" t="s">
        <v>180</v>
      </c>
      <c r="D102" s="3" t="s">
        <v>277</v>
      </c>
      <c r="E102" s="3" t="s">
        <v>180</v>
      </c>
      <c r="F102" s="6">
        <v>45716</v>
      </c>
      <c r="G102" s="7">
        <v>0</v>
      </c>
      <c r="H102" t="s">
        <v>240</v>
      </c>
      <c r="I102" t="s">
        <v>180</v>
      </c>
    </row>
    <row r="103" spans="1:9" x14ac:dyDescent="0.3">
      <c r="A103" s="2"/>
      <c r="B103" s="3" t="s">
        <v>564</v>
      </c>
      <c r="C103" s="3" t="s">
        <v>180</v>
      </c>
      <c r="D103" s="3" t="s">
        <v>278</v>
      </c>
      <c r="E103" s="3" t="s">
        <v>180</v>
      </c>
      <c r="F103" s="6">
        <v>45716</v>
      </c>
      <c r="G103" s="7">
        <v>-934.24</v>
      </c>
      <c r="H103" t="s">
        <v>240</v>
      </c>
      <c r="I103" t="s">
        <v>180</v>
      </c>
    </row>
    <row r="104" spans="1:9" x14ac:dyDescent="0.3">
      <c r="A104" s="2"/>
      <c r="B104" s="3" t="s">
        <v>565</v>
      </c>
      <c r="C104" s="3"/>
      <c r="D104" s="3"/>
      <c r="E104" s="3"/>
      <c r="F104" s="6">
        <v>45716</v>
      </c>
      <c r="G104" s="7">
        <v>-934.24</v>
      </c>
    </row>
    <row r="105" spans="1:9" x14ac:dyDescent="0.3">
      <c r="A105" s="2"/>
      <c r="B105" s="3" t="s">
        <v>185</v>
      </c>
      <c r="C105" s="3" t="s">
        <v>180</v>
      </c>
      <c r="D105" s="3" t="s">
        <v>279</v>
      </c>
      <c r="E105" s="3" t="s">
        <v>180</v>
      </c>
      <c r="F105" s="6">
        <v>45716</v>
      </c>
      <c r="G105" s="7">
        <v>406280.27</v>
      </c>
      <c r="H105" t="s">
        <v>240</v>
      </c>
      <c r="I105" t="s">
        <v>180</v>
      </c>
    </row>
    <row r="106" spans="1:9" x14ac:dyDescent="0.3">
      <c r="A106" s="2"/>
      <c r="B106" s="3" t="s">
        <v>186</v>
      </c>
      <c r="C106" s="3" t="s">
        <v>180</v>
      </c>
      <c r="D106" s="3" t="s">
        <v>278</v>
      </c>
      <c r="E106" s="3" t="s">
        <v>180</v>
      </c>
      <c r="F106" s="6">
        <v>45716</v>
      </c>
      <c r="G106" s="7">
        <v>0</v>
      </c>
    </row>
    <row r="107" spans="1:9" x14ac:dyDescent="0.3">
      <c r="A107" s="2"/>
      <c r="B107" s="3" t="s">
        <v>12</v>
      </c>
      <c r="C107" s="3" t="s">
        <v>180</v>
      </c>
      <c r="D107" s="3"/>
      <c r="E107" s="3" t="s">
        <v>180</v>
      </c>
      <c r="F107" s="6">
        <v>45716</v>
      </c>
      <c r="G107" s="7">
        <v>-50820.45</v>
      </c>
    </row>
    <row r="108" spans="1:9" x14ac:dyDescent="0.3">
      <c r="A108" s="2"/>
      <c r="B108" s="3" t="s">
        <v>15</v>
      </c>
      <c r="C108" s="3"/>
      <c r="D108" s="3"/>
      <c r="E108" s="3"/>
      <c r="F108" s="6">
        <v>45716</v>
      </c>
      <c r="G108" s="7">
        <v>354525.58</v>
      </c>
    </row>
    <row r="109" spans="1:9" x14ac:dyDescent="0.3">
      <c r="A109" s="2"/>
      <c r="B109" s="3" t="s">
        <v>187</v>
      </c>
      <c r="C109" s="3"/>
      <c r="D109" s="3"/>
      <c r="E109" s="3"/>
      <c r="F109" s="6">
        <v>45716</v>
      </c>
      <c r="G109" s="7">
        <v>523882.02</v>
      </c>
    </row>
    <row r="110" spans="1:9" x14ac:dyDescent="0.3">
      <c r="A110" s="2"/>
      <c r="B110" s="3" t="s">
        <v>136</v>
      </c>
      <c r="C110" s="3"/>
      <c r="D110" s="3"/>
      <c r="E110" s="3"/>
      <c r="F110" s="6">
        <v>45747</v>
      </c>
      <c r="G110" s="7">
        <v>0</v>
      </c>
    </row>
    <row r="111" spans="1:9" x14ac:dyDescent="0.3">
      <c r="A111" s="2"/>
      <c r="B111" s="3" t="s">
        <v>137</v>
      </c>
      <c r="C111" s="3"/>
      <c r="D111" s="3"/>
      <c r="E111" s="3"/>
      <c r="F111" s="6">
        <v>45747</v>
      </c>
      <c r="G111" s="7">
        <v>0</v>
      </c>
    </row>
    <row r="112" spans="1:9" x14ac:dyDescent="0.3">
      <c r="A112" s="2"/>
      <c r="B112" s="3" t="s">
        <v>138</v>
      </c>
      <c r="C112" s="3"/>
      <c r="D112" s="3"/>
      <c r="E112" s="3"/>
      <c r="F112" s="6">
        <v>45747</v>
      </c>
      <c r="G112" s="7">
        <v>0</v>
      </c>
    </row>
    <row r="113" spans="1:9" x14ac:dyDescent="0.3">
      <c r="A113" s="2"/>
      <c r="B113" s="3" t="s">
        <v>553</v>
      </c>
      <c r="C113" s="3" t="s">
        <v>254</v>
      </c>
      <c r="D113" s="3" t="s">
        <v>262</v>
      </c>
      <c r="E113" s="3" t="s">
        <v>263</v>
      </c>
      <c r="F113" s="6">
        <v>45747</v>
      </c>
      <c r="G113" s="7">
        <v>568678.65</v>
      </c>
      <c r="H113" t="s">
        <v>232</v>
      </c>
      <c r="I113" t="s">
        <v>137</v>
      </c>
    </row>
    <row r="114" spans="1:9" x14ac:dyDescent="0.3">
      <c r="A114" s="2"/>
      <c r="B114" s="3" t="s">
        <v>554</v>
      </c>
      <c r="C114" s="3" t="s">
        <v>254</v>
      </c>
      <c r="D114" s="3" t="s">
        <v>262</v>
      </c>
      <c r="E114" s="3" t="s">
        <v>263</v>
      </c>
      <c r="F114" s="6">
        <v>45747</v>
      </c>
      <c r="G114" s="7">
        <v>10000</v>
      </c>
      <c r="H114" t="s">
        <v>232</v>
      </c>
      <c r="I114" t="s">
        <v>137</v>
      </c>
    </row>
    <row r="115" spans="1:9" x14ac:dyDescent="0.3">
      <c r="A115" s="2"/>
      <c r="B115" s="3" t="s">
        <v>139</v>
      </c>
      <c r="C115" s="3"/>
      <c r="D115" s="3"/>
      <c r="E115" s="3"/>
      <c r="F115" s="6">
        <v>45747</v>
      </c>
      <c r="G115" s="7">
        <v>578678.65</v>
      </c>
    </row>
    <row r="116" spans="1:9" x14ac:dyDescent="0.3">
      <c r="A116" s="2"/>
      <c r="B116" s="3" t="s">
        <v>140</v>
      </c>
      <c r="C116" s="3"/>
      <c r="D116" s="3"/>
      <c r="E116" s="3"/>
      <c r="F116" s="6">
        <v>45747</v>
      </c>
      <c r="G116" s="7">
        <v>0</v>
      </c>
    </row>
    <row r="117" spans="1:9" x14ac:dyDescent="0.3">
      <c r="A117" s="2"/>
      <c r="B117" s="3" t="s">
        <v>141</v>
      </c>
      <c r="C117" s="3" t="s">
        <v>140</v>
      </c>
      <c r="D117" s="3" t="s">
        <v>264</v>
      </c>
      <c r="E117" s="3" t="s">
        <v>263</v>
      </c>
      <c r="F117" s="6">
        <v>45747</v>
      </c>
      <c r="G117" s="7">
        <v>214696.01</v>
      </c>
      <c r="H117" t="s">
        <v>233</v>
      </c>
      <c r="I117" t="s">
        <v>137</v>
      </c>
    </row>
    <row r="118" spans="1:9" x14ac:dyDescent="0.3">
      <c r="A118" s="2"/>
      <c r="B118" s="3" t="s">
        <v>142</v>
      </c>
      <c r="C118" s="3"/>
      <c r="D118" s="3"/>
      <c r="E118" s="3"/>
      <c r="F118" s="6">
        <v>45747</v>
      </c>
      <c r="G118" s="7">
        <v>214696.01</v>
      </c>
    </row>
    <row r="119" spans="1:9" x14ac:dyDescent="0.3">
      <c r="A119" s="2"/>
      <c r="B119" s="3" t="s">
        <v>143</v>
      </c>
      <c r="C119" s="3" t="s">
        <v>255</v>
      </c>
      <c r="D119" s="3" t="s">
        <v>265</v>
      </c>
      <c r="E119" s="3" t="s">
        <v>263</v>
      </c>
      <c r="F119" s="6">
        <v>45747</v>
      </c>
      <c r="G119" s="7">
        <v>0</v>
      </c>
    </row>
    <row r="120" spans="1:9" x14ac:dyDescent="0.3">
      <c r="A120" s="2"/>
      <c r="B120" s="3" t="s">
        <v>146</v>
      </c>
      <c r="C120" s="3" t="s">
        <v>255</v>
      </c>
      <c r="D120" s="3" t="s">
        <v>266</v>
      </c>
      <c r="E120" s="3" t="s">
        <v>263</v>
      </c>
      <c r="F120" s="6">
        <v>45747</v>
      </c>
      <c r="G120" s="7">
        <v>0</v>
      </c>
      <c r="H120" t="s">
        <v>143</v>
      </c>
      <c r="I120" t="s">
        <v>137</v>
      </c>
    </row>
    <row r="121" spans="1:9" x14ac:dyDescent="0.3">
      <c r="A121" s="2"/>
      <c r="B121" s="3" t="s">
        <v>562</v>
      </c>
      <c r="C121" s="3" t="s">
        <v>255</v>
      </c>
      <c r="D121" s="3" t="s">
        <v>266</v>
      </c>
      <c r="E121" s="3" t="s">
        <v>263</v>
      </c>
      <c r="F121" s="6">
        <v>45747</v>
      </c>
      <c r="G121" s="7">
        <v>950</v>
      </c>
      <c r="H121" t="s">
        <v>143</v>
      </c>
      <c r="I121" t="s">
        <v>137</v>
      </c>
    </row>
    <row r="122" spans="1:9" x14ac:dyDescent="0.3">
      <c r="A122" s="2"/>
      <c r="B122" s="3" t="s">
        <v>149</v>
      </c>
      <c r="C122" s="3"/>
      <c r="D122" s="3"/>
      <c r="E122" s="3"/>
      <c r="F122" s="6">
        <v>45747</v>
      </c>
      <c r="G122" s="7">
        <v>950</v>
      </c>
    </row>
    <row r="123" spans="1:9" x14ac:dyDescent="0.3">
      <c r="A123" s="2"/>
      <c r="B123" s="3" t="s">
        <v>151</v>
      </c>
      <c r="C123" s="3" t="s">
        <v>255</v>
      </c>
      <c r="D123" s="3" t="s">
        <v>267</v>
      </c>
      <c r="E123" s="3" t="s">
        <v>263</v>
      </c>
      <c r="F123" s="6">
        <v>45747</v>
      </c>
      <c r="G123" s="7">
        <v>0</v>
      </c>
      <c r="H123" t="s">
        <v>143</v>
      </c>
      <c r="I123" t="s">
        <v>137</v>
      </c>
    </row>
    <row r="124" spans="1:9" x14ac:dyDescent="0.3">
      <c r="A124" s="2"/>
      <c r="B124" s="3" t="s">
        <v>152</v>
      </c>
      <c r="C124" s="3"/>
      <c r="D124" s="3"/>
      <c r="E124" s="3"/>
      <c r="F124" s="6">
        <v>45747</v>
      </c>
      <c r="G124" s="7">
        <v>950</v>
      </c>
    </row>
    <row r="125" spans="1:9" x14ac:dyDescent="0.3">
      <c r="A125" s="2"/>
      <c r="B125" s="3" t="s">
        <v>153</v>
      </c>
      <c r="C125" s="3"/>
      <c r="D125" s="3"/>
      <c r="E125" s="3"/>
      <c r="F125" s="6">
        <v>45747</v>
      </c>
      <c r="G125" s="7">
        <v>794324.66</v>
      </c>
    </row>
    <row r="126" spans="1:9" x14ac:dyDescent="0.3">
      <c r="A126" s="2"/>
      <c r="B126" s="3" t="s">
        <v>154</v>
      </c>
      <c r="C126" s="3"/>
      <c r="D126" s="3"/>
      <c r="E126" s="3"/>
      <c r="F126" s="6">
        <v>45747</v>
      </c>
      <c r="G126" s="7">
        <v>0</v>
      </c>
    </row>
    <row r="127" spans="1:9" x14ac:dyDescent="0.3">
      <c r="A127" s="2"/>
      <c r="B127" s="3" t="s">
        <v>155</v>
      </c>
      <c r="C127" s="3" t="s">
        <v>268</v>
      </c>
      <c r="D127" s="3" t="s">
        <v>269</v>
      </c>
      <c r="E127" s="3" t="s">
        <v>263</v>
      </c>
      <c r="F127" s="6">
        <v>45747</v>
      </c>
      <c r="G127" s="7">
        <v>0</v>
      </c>
      <c r="H127" t="s">
        <v>235</v>
      </c>
      <c r="I127" t="s">
        <v>234</v>
      </c>
    </row>
    <row r="128" spans="1:9" x14ac:dyDescent="0.3">
      <c r="A128" s="2"/>
      <c r="B128" s="3" t="s">
        <v>542</v>
      </c>
      <c r="C128" s="3" t="s">
        <v>268</v>
      </c>
      <c r="D128" s="3" t="s">
        <v>269</v>
      </c>
      <c r="E128" s="3" t="s">
        <v>263</v>
      </c>
      <c r="F128" s="6">
        <v>45747</v>
      </c>
      <c r="G128" s="7">
        <v>100000</v>
      </c>
      <c r="H128" t="s">
        <v>235</v>
      </c>
      <c r="I128" t="s">
        <v>234</v>
      </c>
    </row>
    <row r="129" spans="1:9" x14ac:dyDescent="0.3">
      <c r="A129" s="2"/>
      <c r="B129" s="3" t="s">
        <v>156</v>
      </c>
      <c r="C129" s="3"/>
      <c r="D129" s="3"/>
      <c r="E129" s="3"/>
      <c r="F129" s="6">
        <v>45747</v>
      </c>
      <c r="G129" s="7">
        <v>100000</v>
      </c>
    </row>
    <row r="130" spans="1:9" x14ac:dyDescent="0.3">
      <c r="A130" s="2"/>
      <c r="B130" s="3" t="s">
        <v>157</v>
      </c>
      <c r="C130" s="3"/>
      <c r="D130" s="3"/>
      <c r="E130" s="3"/>
      <c r="F130" s="6">
        <v>45747</v>
      </c>
      <c r="G130" s="7">
        <v>100000</v>
      </c>
    </row>
    <row r="131" spans="1:9" x14ac:dyDescent="0.3">
      <c r="A131" s="2"/>
      <c r="B131" s="3" t="s">
        <v>158</v>
      </c>
      <c r="C131" s="3"/>
      <c r="D131" s="3"/>
      <c r="E131" s="3"/>
      <c r="F131" s="6">
        <v>45747</v>
      </c>
      <c r="G131" s="7">
        <v>894324.66</v>
      </c>
    </row>
    <row r="132" spans="1:9" x14ac:dyDescent="0.3">
      <c r="A132" s="2"/>
      <c r="B132" s="3" t="s">
        <v>159</v>
      </c>
      <c r="C132" s="3"/>
      <c r="D132" s="3"/>
      <c r="E132" s="3"/>
      <c r="F132" s="6">
        <v>45747</v>
      </c>
      <c r="G132" s="7">
        <v>0</v>
      </c>
    </row>
    <row r="133" spans="1:9" x14ac:dyDescent="0.3">
      <c r="A133" s="2"/>
      <c r="B133" s="3" t="s">
        <v>160</v>
      </c>
      <c r="C133" s="3"/>
      <c r="D133" s="3"/>
      <c r="E133" s="3"/>
      <c r="F133" s="6">
        <v>45747</v>
      </c>
      <c r="G133" s="7">
        <v>0</v>
      </c>
    </row>
    <row r="134" spans="1:9" x14ac:dyDescent="0.3">
      <c r="A134" s="2"/>
      <c r="B134" s="3" t="s">
        <v>161</v>
      </c>
      <c r="C134" s="3"/>
      <c r="D134" s="3"/>
      <c r="E134" s="3"/>
      <c r="F134" s="6">
        <v>45747</v>
      </c>
      <c r="G134" s="7">
        <v>0</v>
      </c>
    </row>
    <row r="135" spans="1:9" x14ac:dyDescent="0.3">
      <c r="A135" s="2"/>
      <c r="B135" s="3" t="s">
        <v>162</v>
      </c>
      <c r="C135" s="3"/>
      <c r="D135" s="3"/>
      <c r="E135" s="3"/>
      <c r="F135" s="6">
        <v>45747</v>
      </c>
      <c r="G135" s="7">
        <v>0</v>
      </c>
    </row>
    <row r="136" spans="1:9" x14ac:dyDescent="0.3">
      <c r="A136" s="2"/>
      <c r="B136" s="3" t="s">
        <v>163</v>
      </c>
      <c r="C136" s="3" t="s">
        <v>162</v>
      </c>
      <c r="D136" s="3" t="s">
        <v>270</v>
      </c>
      <c r="E136" s="3" t="s">
        <v>271</v>
      </c>
      <c r="F136" s="6">
        <v>45747</v>
      </c>
      <c r="G136" s="7">
        <v>9195.32</v>
      </c>
      <c r="H136" t="s">
        <v>162</v>
      </c>
      <c r="I136" t="s">
        <v>161</v>
      </c>
    </row>
    <row r="137" spans="1:9" x14ac:dyDescent="0.3">
      <c r="A137" s="2"/>
      <c r="B137" s="3" t="s">
        <v>164</v>
      </c>
      <c r="C137" s="3"/>
      <c r="D137" s="3"/>
      <c r="E137" s="3"/>
      <c r="F137" s="6">
        <v>45747</v>
      </c>
      <c r="G137" s="7">
        <v>9195.32</v>
      </c>
    </row>
    <row r="138" spans="1:9" x14ac:dyDescent="0.3">
      <c r="A138" s="2"/>
      <c r="B138" s="3" t="s">
        <v>165</v>
      </c>
      <c r="C138" s="3" t="s">
        <v>256</v>
      </c>
      <c r="D138" s="3" t="s">
        <v>272</v>
      </c>
      <c r="E138" s="3" t="s">
        <v>271</v>
      </c>
      <c r="F138" s="6">
        <v>45747</v>
      </c>
      <c r="G138" s="7">
        <v>0</v>
      </c>
    </row>
    <row r="139" spans="1:9" x14ac:dyDescent="0.3">
      <c r="A139" s="2"/>
      <c r="B139" s="3" t="s">
        <v>545</v>
      </c>
      <c r="C139" s="3" t="s">
        <v>256</v>
      </c>
      <c r="D139" s="3" t="s">
        <v>272</v>
      </c>
      <c r="E139" s="3" t="s">
        <v>271</v>
      </c>
      <c r="F139" s="6">
        <v>45747</v>
      </c>
      <c r="G139" s="7">
        <v>6163.33</v>
      </c>
      <c r="H139" t="s">
        <v>162</v>
      </c>
      <c r="I139" t="s">
        <v>161</v>
      </c>
    </row>
    <row r="140" spans="1:9" x14ac:dyDescent="0.3">
      <c r="A140" s="2"/>
      <c r="B140" s="3" t="s">
        <v>546</v>
      </c>
      <c r="C140" s="3" t="s">
        <v>256</v>
      </c>
      <c r="D140" s="3" t="s">
        <v>272</v>
      </c>
      <c r="E140" s="3" t="s">
        <v>271</v>
      </c>
      <c r="F140" s="6">
        <v>45747</v>
      </c>
      <c r="G140" s="7">
        <v>0</v>
      </c>
      <c r="H140" t="s">
        <v>162</v>
      </c>
      <c r="I140" t="s">
        <v>161</v>
      </c>
    </row>
    <row r="141" spans="1:9" x14ac:dyDescent="0.3">
      <c r="A141" s="2"/>
      <c r="B141" s="3" t="s">
        <v>547</v>
      </c>
      <c r="C141" s="3" t="s">
        <v>256</v>
      </c>
      <c r="D141" s="3" t="s">
        <v>272</v>
      </c>
      <c r="E141" s="3" t="s">
        <v>271</v>
      </c>
      <c r="F141" s="6">
        <v>45747</v>
      </c>
      <c r="G141" s="7">
        <v>952.63</v>
      </c>
      <c r="H141" t="s">
        <v>162</v>
      </c>
      <c r="I141" t="s">
        <v>161</v>
      </c>
    </row>
    <row r="142" spans="1:9" x14ac:dyDescent="0.3">
      <c r="A142" s="2"/>
      <c r="B142" s="3" t="s">
        <v>166</v>
      </c>
      <c r="C142" s="3"/>
      <c r="D142" s="3"/>
      <c r="E142" s="3"/>
      <c r="F142" s="6">
        <v>45747</v>
      </c>
      <c r="G142" s="7">
        <v>7115.96</v>
      </c>
    </row>
    <row r="143" spans="1:9" x14ac:dyDescent="0.3">
      <c r="A143" s="2"/>
      <c r="B143" s="3" t="s">
        <v>167</v>
      </c>
      <c r="C143" s="3"/>
      <c r="D143" s="3"/>
      <c r="E143" s="3"/>
      <c r="F143" s="6">
        <v>45747</v>
      </c>
      <c r="G143" s="7">
        <v>0</v>
      </c>
    </row>
    <row r="144" spans="1:9" x14ac:dyDescent="0.3">
      <c r="A144" s="2"/>
      <c r="B144" s="3" t="s">
        <v>173</v>
      </c>
      <c r="C144" s="3" t="s">
        <v>257</v>
      </c>
      <c r="D144" s="3" t="s">
        <v>273</v>
      </c>
      <c r="E144" s="3" t="s">
        <v>271</v>
      </c>
      <c r="F144" s="6">
        <v>45747</v>
      </c>
      <c r="G144" s="7">
        <v>319999</v>
      </c>
      <c r="H144" t="s">
        <v>237</v>
      </c>
      <c r="I144" t="s">
        <v>161</v>
      </c>
    </row>
    <row r="145" spans="1:9" x14ac:dyDescent="0.3">
      <c r="A145" s="2"/>
      <c r="B145" s="3" t="s">
        <v>174</v>
      </c>
      <c r="C145" s="3" t="s">
        <v>257</v>
      </c>
      <c r="D145" s="3" t="s">
        <v>273</v>
      </c>
      <c r="E145" s="3" t="s">
        <v>271</v>
      </c>
      <c r="F145" s="6">
        <v>45747</v>
      </c>
      <c r="G145" s="7">
        <v>44875</v>
      </c>
      <c r="H145" t="s">
        <v>167</v>
      </c>
      <c r="I145" t="s">
        <v>161</v>
      </c>
    </row>
    <row r="146" spans="1:9" x14ac:dyDescent="0.3">
      <c r="A146" s="2"/>
      <c r="B146" s="3" t="s">
        <v>175</v>
      </c>
      <c r="C146" s="3"/>
      <c r="D146" s="3"/>
      <c r="E146" s="3"/>
      <c r="F146" s="6">
        <v>45747</v>
      </c>
      <c r="G146" s="7">
        <v>364874</v>
      </c>
    </row>
    <row r="147" spans="1:9" x14ac:dyDescent="0.3">
      <c r="A147" s="2"/>
      <c r="B147" s="3" t="s">
        <v>176</v>
      </c>
      <c r="C147" s="3"/>
      <c r="D147" s="3"/>
      <c r="E147" s="3"/>
      <c r="F147" s="6">
        <v>45747</v>
      </c>
      <c r="G147" s="7">
        <v>381185.28000000003</v>
      </c>
    </row>
    <row r="148" spans="1:9" x14ac:dyDescent="0.3">
      <c r="A148" s="2"/>
      <c r="B148" s="3" t="s">
        <v>177</v>
      </c>
      <c r="C148" s="3"/>
      <c r="D148" s="3"/>
      <c r="E148" s="3"/>
      <c r="F148" s="6">
        <v>45747</v>
      </c>
      <c r="G148" s="7">
        <v>0</v>
      </c>
    </row>
    <row r="149" spans="1:9" x14ac:dyDescent="0.3">
      <c r="A149" s="2"/>
      <c r="B149" s="3" t="s">
        <v>178</v>
      </c>
      <c r="C149" s="3" t="s">
        <v>274</v>
      </c>
      <c r="D149" s="3" t="s">
        <v>275</v>
      </c>
      <c r="E149" s="3" t="s">
        <v>271</v>
      </c>
      <c r="F149" s="6">
        <v>45747</v>
      </c>
      <c r="G149" s="7">
        <v>90000</v>
      </c>
      <c r="H149" t="s">
        <v>239</v>
      </c>
      <c r="I149" t="s">
        <v>177</v>
      </c>
    </row>
    <row r="150" spans="1:9" x14ac:dyDescent="0.3">
      <c r="A150" s="2"/>
      <c r="B150" s="3" t="s">
        <v>179</v>
      </c>
      <c r="C150" s="3"/>
      <c r="D150" s="3"/>
      <c r="E150" s="3"/>
      <c r="F150" s="6">
        <v>45747</v>
      </c>
      <c r="G150" s="7">
        <v>90000</v>
      </c>
    </row>
    <row r="151" spans="1:9" x14ac:dyDescent="0.3">
      <c r="A151" s="2"/>
      <c r="B151" s="3" t="s">
        <v>14</v>
      </c>
      <c r="C151" s="3"/>
      <c r="D151" s="3"/>
      <c r="E151" s="3"/>
      <c r="F151" s="6">
        <v>45747</v>
      </c>
      <c r="G151" s="7">
        <v>471185.28</v>
      </c>
    </row>
    <row r="152" spans="1:9" x14ac:dyDescent="0.3">
      <c r="A152" s="2"/>
      <c r="B152" s="3" t="s">
        <v>180</v>
      </c>
      <c r="C152" s="3"/>
      <c r="D152" s="3"/>
      <c r="E152" s="3"/>
      <c r="F152" s="6">
        <v>45747</v>
      </c>
      <c r="G152" s="7">
        <v>0</v>
      </c>
    </row>
    <row r="153" spans="1:9" x14ac:dyDescent="0.3">
      <c r="A153" s="2"/>
      <c r="B153" s="3" t="s">
        <v>181</v>
      </c>
      <c r="C153" s="3" t="s">
        <v>180</v>
      </c>
      <c r="D153" s="3" t="s">
        <v>276</v>
      </c>
      <c r="E153" s="3" t="s">
        <v>180</v>
      </c>
      <c r="F153" s="6">
        <v>45747</v>
      </c>
      <c r="G153" s="7">
        <v>0</v>
      </c>
      <c r="H153" t="s">
        <v>240</v>
      </c>
      <c r="I153" t="s">
        <v>180</v>
      </c>
    </row>
    <row r="154" spans="1:9" x14ac:dyDescent="0.3">
      <c r="A154" s="2"/>
      <c r="B154" s="3" t="s">
        <v>563</v>
      </c>
      <c r="C154" s="3" t="s">
        <v>180</v>
      </c>
      <c r="D154" s="3" t="s">
        <v>277</v>
      </c>
      <c r="E154" s="3" t="s">
        <v>180</v>
      </c>
      <c r="F154" s="6">
        <v>45747</v>
      </c>
      <c r="G154" s="7">
        <v>0</v>
      </c>
      <c r="H154" t="s">
        <v>240</v>
      </c>
      <c r="I154" t="s">
        <v>180</v>
      </c>
    </row>
    <row r="155" spans="1:9" x14ac:dyDescent="0.3">
      <c r="A155" s="2"/>
      <c r="B155" s="3" t="s">
        <v>564</v>
      </c>
      <c r="C155" s="3" t="s">
        <v>180</v>
      </c>
      <c r="D155" s="3" t="s">
        <v>278</v>
      </c>
      <c r="E155" s="3" t="s">
        <v>180</v>
      </c>
      <c r="F155" s="6">
        <v>45747</v>
      </c>
      <c r="G155" s="7">
        <v>-443.42</v>
      </c>
      <c r="H155" t="s">
        <v>240</v>
      </c>
      <c r="I155" t="s">
        <v>180</v>
      </c>
    </row>
    <row r="156" spans="1:9" x14ac:dyDescent="0.3">
      <c r="A156" s="2"/>
      <c r="B156" s="3" t="s">
        <v>565</v>
      </c>
      <c r="C156" s="3"/>
      <c r="D156" s="3"/>
      <c r="E156" s="3"/>
      <c r="F156" s="6">
        <v>45747</v>
      </c>
      <c r="G156" s="7">
        <v>-443.42</v>
      </c>
    </row>
    <row r="157" spans="1:9" x14ac:dyDescent="0.3">
      <c r="A157" s="2"/>
      <c r="B157" s="3" t="s">
        <v>185</v>
      </c>
      <c r="C157" s="3" t="s">
        <v>180</v>
      </c>
      <c r="D157" s="3" t="s">
        <v>279</v>
      </c>
      <c r="E157" s="3" t="s">
        <v>180</v>
      </c>
      <c r="F157" s="6">
        <v>45747</v>
      </c>
      <c r="G157" s="7">
        <v>406280.27</v>
      </c>
      <c r="H157" t="s">
        <v>240</v>
      </c>
      <c r="I157" t="s">
        <v>180</v>
      </c>
    </row>
    <row r="158" spans="1:9" x14ac:dyDescent="0.3">
      <c r="A158" s="2"/>
      <c r="B158" s="3" t="s">
        <v>186</v>
      </c>
      <c r="C158" s="3" t="s">
        <v>180</v>
      </c>
      <c r="D158" s="3" t="s">
        <v>278</v>
      </c>
      <c r="E158" s="3" t="s">
        <v>180</v>
      </c>
      <c r="F158" s="6">
        <v>45747</v>
      </c>
      <c r="G158" s="7">
        <v>0</v>
      </c>
    </row>
    <row r="159" spans="1:9" x14ac:dyDescent="0.3">
      <c r="A159" s="2"/>
      <c r="B159" s="3" t="s">
        <v>12</v>
      </c>
      <c r="C159" s="3" t="s">
        <v>180</v>
      </c>
      <c r="D159" s="3"/>
      <c r="E159" s="3" t="s">
        <v>180</v>
      </c>
      <c r="F159" s="6">
        <v>45747</v>
      </c>
      <c r="G159" s="7">
        <v>17302.53</v>
      </c>
    </row>
    <row r="160" spans="1:9" x14ac:dyDescent="0.3">
      <c r="A160" s="2"/>
      <c r="B160" s="3" t="s">
        <v>15</v>
      </c>
      <c r="C160" s="3"/>
      <c r="D160" s="3"/>
      <c r="E160" s="3"/>
      <c r="F160" s="6">
        <v>45747</v>
      </c>
      <c r="G160" s="7">
        <v>423139.38</v>
      </c>
    </row>
    <row r="161" spans="1:9" x14ac:dyDescent="0.3">
      <c r="A161" s="2"/>
      <c r="B161" s="3" t="s">
        <v>187</v>
      </c>
      <c r="C161" s="3"/>
      <c r="D161" s="3"/>
      <c r="E161" s="3"/>
      <c r="F161" s="6">
        <v>45747</v>
      </c>
      <c r="G161" s="7">
        <v>894324.66</v>
      </c>
    </row>
    <row r="162" spans="1:9" x14ac:dyDescent="0.3">
      <c r="A162" s="2"/>
      <c r="B162" s="3" t="s">
        <v>136</v>
      </c>
      <c r="C162" s="3"/>
      <c r="D162" s="3"/>
      <c r="E162" s="3"/>
      <c r="F162" s="6">
        <v>45777</v>
      </c>
      <c r="G162" s="7">
        <v>0</v>
      </c>
    </row>
    <row r="163" spans="1:9" x14ac:dyDescent="0.3">
      <c r="A163" s="2"/>
      <c r="B163" s="3" t="s">
        <v>137</v>
      </c>
      <c r="C163" s="3"/>
      <c r="D163" s="3"/>
      <c r="E163" s="3"/>
      <c r="F163" s="6">
        <v>45777</v>
      </c>
      <c r="G163" s="7">
        <v>0</v>
      </c>
    </row>
    <row r="164" spans="1:9" x14ac:dyDescent="0.3">
      <c r="A164" s="2"/>
      <c r="B164" s="3" t="s">
        <v>138</v>
      </c>
      <c r="C164" s="3"/>
      <c r="D164" s="3"/>
      <c r="E164" s="3"/>
      <c r="F164" s="6">
        <v>45777</v>
      </c>
      <c r="G164" s="7">
        <v>0</v>
      </c>
    </row>
    <row r="165" spans="1:9" x14ac:dyDescent="0.3">
      <c r="A165" s="2"/>
      <c r="B165" s="3" t="s">
        <v>553</v>
      </c>
      <c r="C165" s="3" t="s">
        <v>254</v>
      </c>
      <c r="D165" s="3" t="s">
        <v>262</v>
      </c>
      <c r="E165" s="3" t="s">
        <v>263</v>
      </c>
      <c r="F165" s="6">
        <v>45777</v>
      </c>
      <c r="G165" s="7">
        <v>567241.86</v>
      </c>
      <c r="H165" t="s">
        <v>232</v>
      </c>
      <c r="I165" t="s">
        <v>137</v>
      </c>
    </row>
    <row r="166" spans="1:9" x14ac:dyDescent="0.3">
      <c r="A166" s="2"/>
      <c r="B166" s="3" t="s">
        <v>554</v>
      </c>
      <c r="C166" s="3" t="s">
        <v>254</v>
      </c>
      <c r="D166" s="3" t="s">
        <v>262</v>
      </c>
      <c r="E166" s="3" t="s">
        <v>263</v>
      </c>
      <c r="F166" s="6">
        <v>45777</v>
      </c>
      <c r="G166" s="7">
        <v>1870.81</v>
      </c>
      <c r="H166" t="s">
        <v>232</v>
      </c>
      <c r="I166" t="s">
        <v>137</v>
      </c>
    </row>
    <row r="167" spans="1:9" x14ac:dyDescent="0.3">
      <c r="A167" s="2"/>
      <c r="B167" s="3" t="s">
        <v>139</v>
      </c>
      <c r="C167" s="3"/>
      <c r="D167" s="3"/>
      <c r="E167" s="3"/>
      <c r="F167" s="6">
        <v>45777</v>
      </c>
      <c r="G167" s="7">
        <v>569112.67000000004</v>
      </c>
    </row>
    <row r="168" spans="1:9" x14ac:dyDescent="0.3">
      <c r="A168" s="2"/>
      <c r="B168" s="3" t="s">
        <v>140</v>
      </c>
      <c r="C168" s="3"/>
      <c r="D168" s="3"/>
      <c r="E168" s="3"/>
      <c r="F168" s="6">
        <v>45777</v>
      </c>
      <c r="G168" s="7">
        <v>0</v>
      </c>
    </row>
    <row r="169" spans="1:9" x14ac:dyDescent="0.3">
      <c r="A169" s="2"/>
      <c r="B169" s="3" t="s">
        <v>141</v>
      </c>
      <c r="C169" s="3" t="s">
        <v>140</v>
      </c>
      <c r="D169" s="3" t="s">
        <v>264</v>
      </c>
      <c r="E169" s="3" t="s">
        <v>263</v>
      </c>
      <c r="F169" s="6">
        <v>45777</v>
      </c>
      <c r="G169" s="7">
        <v>258499.37</v>
      </c>
      <c r="H169" t="s">
        <v>233</v>
      </c>
      <c r="I169" t="s">
        <v>137</v>
      </c>
    </row>
    <row r="170" spans="1:9" x14ac:dyDescent="0.3">
      <c r="A170" s="2"/>
      <c r="B170" s="3" t="s">
        <v>142</v>
      </c>
      <c r="C170" s="3"/>
      <c r="D170" s="3"/>
      <c r="E170" s="3"/>
      <c r="F170" s="6">
        <v>45777</v>
      </c>
      <c r="G170" s="7">
        <v>258499.37</v>
      </c>
    </row>
    <row r="171" spans="1:9" x14ac:dyDescent="0.3">
      <c r="A171" s="2"/>
      <c r="B171" s="3" t="s">
        <v>143</v>
      </c>
      <c r="C171" s="3" t="s">
        <v>255</v>
      </c>
      <c r="D171" s="3" t="s">
        <v>265</v>
      </c>
      <c r="E171" s="3" t="s">
        <v>263</v>
      </c>
      <c r="F171" s="6">
        <v>45777</v>
      </c>
      <c r="G171" s="7">
        <v>0</v>
      </c>
    </row>
    <row r="172" spans="1:9" x14ac:dyDescent="0.3">
      <c r="A172" s="2"/>
      <c r="B172" s="3" t="s">
        <v>146</v>
      </c>
      <c r="C172" s="3" t="s">
        <v>255</v>
      </c>
      <c r="D172" s="3" t="s">
        <v>266</v>
      </c>
      <c r="E172" s="3" t="s">
        <v>263</v>
      </c>
      <c r="F172" s="6">
        <v>45777</v>
      </c>
      <c r="G172" s="7">
        <v>0</v>
      </c>
      <c r="H172" t="s">
        <v>143</v>
      </c>
      <c r="I172" t="s">
        <v>137</v>
      </c>
    </row>
    <row r="173" spans="1:9" x14ac:dyDescent="0.3">
      <c r="A173" s="2"/>
      <c r="B173" s="3" t="s">
        <v>562</v>
      </c>
      <c r="C173" s="3" t="s">
        <v>255</v>
      </c>
      <c r="D173" s="3" t="s">
        <v>266</v>
      </c>
      <c r="E173" s="3" t="s">
        <v>263</v>
      </c>
      <c r="F173" s="6">
        <v>45777</v>
      </c>
      <c r="G173" s="7">
        <v>-2600</v>
      </c>
      <c r="H173" t="s">
        <v>143</v>
      </c>
      <c r="I173" t="s">
        <v>137</v>
      </c>
    </row>
    <row r="174" spans="1:9" x14ac:dyDescent="0.3">
      <c r="A174" s="2"/>
      <c r="B174" s="3" t="s">
        <v>149</v>
      </c>
      <c r="C174" s="3"/>
      <c r="D174" s="3"/>
      <c r="E174" s="3"/>
      <c r="F174" s="6">
        <v>45777</v>
      </c>
      <c r="G174" s="7">
        <v>-2600</v>
      </c>
    </row>
    <row r="175" spans="1:9" x14ac:dyDescent="0.3">
      <c r="A175" s="2"/>
      <c r="B175" s="3" t="s">
        <v>150</v>
      </c>
      <c r="C175" s="3" t="s">
        <v>255</v>
      </c>
      <c r="D175" s="3" t="s">
        <v>265</v>
      </c>
      <c r="E175" s="3" t="s">
        <v>263</v>
      </c>
      <c r="F175" s="6">
        <v>45777</v>
      </c>
      <c r="G175" s="7">
        <v>5600</v>
      </c>
      <c r="H175" t="s">
        <v>143</v>
      </c>
      <c r="I175" t="s">
        <v>137</v>
      </c>
    </row>
    <row r="176" spans="1:9" x14ac:dyDescent="0.3">
      <c r="A176" s="2"/>
      <c r="B176" s="3" t="s">
        <v>151</v>
      </c>
      <c r="C176" s="3" t="s">
        <v>255</v>
      </c>
      <c r="D176" s="3" t="s">
        <v>267</v>
      </c>
      <c r="E176" s="3" t="s">
        <v>263</v>
      </c>
      <c r="F176" s="6">
        <v>45777</v>
      </c>
      <c r="G176" s="7">
        <v>-6612</v>
      </c>
      <c r="H176" t="s">
        <v>143</v>
      </c>
      <c r="I176" t="s">
        <v>137</v>
      </c>
    </row>
    <row r="177" spans="1:9" x14ac:dyDescent="0.3">
      <c r="A177" s="2"/>
      <c r="B177" s="3" t="s">
        <v>152</v>
      </c>
      <c r="C177" s="3"/>
      <c r="D177" s="3"/>
      <c r="E177" s="3"/>
      <c r="F177" s="6">
        <v>45777</v>
      </c>
      <c r="G177" s="7">
        <v>-3612</v>
      </c>
    </row>
    <row r="178" spans="1:9" x14ac:dyDescent="0.3">
      <c r="A178" s="2"/>
      <c r="B178" s="3" t="s">
        <v>153</v>
      </c>
      <c r="C178" s="3"/>
      <c r="D178" s="3"/>
      <c r="E178" s="3"/>
      <c r="F178" s="6">
        <v>45777</v>
      </c>
      <c r="G178" s="7">
        <v>824000.04</v>
      </c>
    </row>
    <row r="179" spans="1:9" x14ac:dyDescent="0.3">
      <c r="A179" s="2"/>
      <c r="B179" s="3" t="s">
        <v>154</v>
      </c>
      <c r="C179" s="3"/>
      <c r="D179" s="3"/>
      <c r="E179" s="3"/>
      <c r="F179" s="6">
        <v>45777</v>
      </c>
      <c r="G179" s="7">
        <v>0</v>
      </c>
    </row>
    <row r="180" spans="1:9" x14ac:dyDescent="0.3">
      <c r="A180" s="2"/>
      <c r="B180" s="3" t="s">
        <v>155</v>
      </c>
      <c r="C180" s="3" t="s">
        <v>268</v>
      </c>
      <c r="D180" s="3" t="s">
        <v>269</v>
      </c>
      <c r="E180" s="3" t="s">
        <v>263</v>
      </c>
      <c r="F180" s="6">
        <v>45777</v>
      </c>
      <c r="G180" s="7">
        <v>0</v>
      </c>
      <c r="H180" t="s">
        <v>235</v>
      </c>
      <c r="I180" t="s">
        <v>234</v>
      </c>
    </row>
    <row r="181" spans="1:9" x14ac:dyDescent="0.3">
      <c r="A181" s="2"/>
      <c r="B181" s="3" t="s">
        <v>542</v>
      </c>
      <c r="C181" s="3" t="s">
        <v>268</v>
      </c>
      <c r="D181" s="3" t="s">
        <v>269</v>
      </c>
      <c r="E181" s="3" t="s">
        <v>263</v>
      </c>
      <c r="F181" s="6">
        <v>45777</v>
      </c>
      <c r="G181" s="7">
        <v>100000</v>
      </c>
      <c r="H181" t="s">
        <v>235</v>
      </c>
      <c r="I181" t="s">
        <v>234</v>
      </c>
    </row>
    <row r="182" spans="1:9" x14ac:dyDescent="0.3">
      <c r="A182" s="2"/>
      <c r="B182" s="3" t="s">
        <v>156</v>
      </c>
      <c r="C182" s="3"/>
      <c r="D182" s="3"/>
      <c r="E182" s="3"/>
      <c r="F182" s="6">
        <v>45777</v>
      </c>
      <c r="G182" s="7">
        <v>100000</v>
      </c>
    </row>
    <row r="183" spans="1:9" x14ac:dyDescent="0.3">
      <c r="A183" s="2"/>
      <c r="B183" s="3" t="s">
        <v>157</v>
      </c>
      <c r="C183" s="3"/>
      <c r="D183" s="3"/>
      <c r="E183" s="3"/>
      <c r="F183" s="6">
        <v>45777</v>
      </c>
      <c r="G183" s="7">
        <v>100000</v>
      </c>
    </row>
    <row r="184" spans="1:9" x14ac:dyDescent="0.3">
      <c r="A184" s="2"/>
      <c r="B184" s="3" t="s">
        <v>158</v>
      </c>
      <c r="C184" s="3"/>
      <c r="D184" s="3"/>
      <c r="E184" s="3"/>
      <c r="F184" s="6">
        <v>45777</v>
      </c>
      <c r="G184" s="7">
        <v>924000.04</v>
      </c>
    </row>
    <row r="185" spans="1:9" x14ac:dyDescent="0.3">
      <c r="A185" s="2"/>
      <c r="B185" s="3" t="s">
        <v>159</v>
      </c>
      <c r="C185" s="3"/>
      <c r="D185" s="3"/>
      <c r="E185" s="3"/>
      <c r="F185" s="6">
        <v>45777</v>
      </c>
      <c r="G185" s="7">
        <v>0</v>
      </c>
    </row>
    <row r="186" spans="1:9" x14ac:dyDescent="0.3">
      <c r="A186" s="2"/>
      <c r="B186" s="3" t="s">
        <v>160</v>
      </c>
      <c r="C186" s="3"/>
      <c r="D186" s="3"/>
      <c r="E186" s="3"/>
      <c r="F186" s="6">
        <v>45777</v>
      </c>
      <c r="G186" s="7">
        <v>0</v>
      </c>
    </row>
    <row r="187" spans="1:9" x14ac:dyDescent="0.3">
      <c r="A187" s="2"/>
      <c r="B187" s="3" t="s">
        <v>161</v>
      </c>
      <c r="C187" s="3"/>
      <c r="D187" s="3"/>
      <c r="E187" s="3"/>
      <c r="F187" s="6">
        <v>45777</v>
      </c>
      <c r="G187" s="7">
        <v>0</v>
      </c>
    </row>
    <row r="188" spans="1:9" x14ac:dyDescent="0.3">
      <c r="A188" s="2"/>
      <c r="B188" s="3" t="s">
        <v>162</v>
      </c>
      <c r="C188" s="3"/>
      <c r="D188" s="3"/>
      <c r="E188" s="3"/>
      <c r="F188" s="6">
        <v>45777</v>
      </c>
      <c r="G188" s="7">
        <v>0</v>
      </c>
    </row>
    <row r="189" spans="1:9" x14ac:dyDescent="0.3">
      <c r="A189" s="2"/>
      <c r="B189" s="3" t="s">
        <v>163</v>
      </c>
      <c r="C189" s="3" t="s">
        <v>162</v>
      </c>
      <c r="D189" s="3" t="s">
        <v>270</v>
      </c>
      <c r="E189" s="3" t="s">
        <v>271</v>
      </c>
      <c r="F189" s="6">
        <v>45777</v>
      </c>
      <c r="G189" s="7">
        <v>48032.92</v>
      </c>
      <c r="H189" t="s">
        <v>162</v>
      </c>
      <c r="I189" t="s">
        <v>161</v>
      </c>
    </row>
    <row r="190" spans="1:9" x14ac:dyDescent="0.3">
      <c r="A190" s="2"/>
      <c r="B190" s="3" t="s">
        <v>164</v>
      </c>
      <c r="C190" s="3"/>
      <c r="D190" s="3"/>
      <c r="E190" s="3"/>
      <c r="F190" s="6">
        <v>45777</v>
      </c>
      <c r="G190" s="7">
        <v>48032.92</v>
      </c>
    </row>
    <row r="191" spans="1:9" x14ac:dyDescent="0.3">
      <c r="A191" s="2"/>
      <c r="B191" s="3" t="s">
        <v>165</v>
      </c>
      <c r="C191" s="3" t="s">
        <v>256</v>
      </c>
      <c r="D191" s="3" t="s">
        <v>272</v>
      </c>
      <c r="E191" s="3" t="s">
        <v>271</v>
      </c>
      <c r="F191" s="6">
        <v>45777</v>
      </c>
      <c r="G191" s="7">
        <v>0</v>
      </c>
    </row>
    <row r="192" spans="1:9" x14ac:dyDescent="0.3">
      <c r="A192" s="2"/>
      <c r="B192" s="3" t="s">
        <v>545</v>
      </c>
      <c r="C192" s="3" t="s">
        <v>256</v>
      </c>
      <c r="D192" s="3" t="s">
        <v>272</v>
      </c>
      <c r="E192" s="3" t="s">
        <v>271</v>
      </c>
      <c r="F192" s="6">
        <v>45777</v>
      </c>
      <c r="G192" s="7">
        <v>6269.45</v>
      </c>
      <c r="H192" t="s">
        <v>162</v>
      </c>
      <c r="I192" t="s">
        <v>161</v>
      </c>
    </row>
    <row r="193" spans="1:9" x14ac:dyDescent="0.3">
      <c r="A193" s="2"/>
      <c r="B193" s="3" t="s">
        <v>546</v>
      </c>
      <c r="C193" s="3" t="s">
        <v>256</v>
      </c>
      <c r="D193" s="3" t="s">
        <v>272</v>
      </c>
      <c r="E193" s="3" t="s">
        <v>271</v>
      </c>
      <c r="F193" s="6">
        <v>45777</v>
      </c>
      <c r="G193" s="7">
        <v>0</v>
      </c>
      <c r="H193" t="s">
        <v>162</v>
      </c>
      <c r="I193" t="s">
        <v>161</v>
      </c>
    </row>
    <row r="194" spans="1:9" x14ac:dyDescent="0.3">
      <c r="A194" s="2"/>
      <c r="B194" s="3" t="s">
        <v>547</v>
      </c>
      <c r="C194" s="3" t="s">
        <v>256</v>
      </c>
      <c r="D194" s="3" t="s">
        <v>272</v>
      </c>
      <c r="E194" s="3" t="s">
        <v>271</v>
      </c>
      <c r="F194" s="6">
        <v>45777</v>
      </c>
      <c r="G194" s="7">
        <v>525.55999999999995</v>
      </c>
      <c r="H194" t="s">
        <v>162</v>
      </c>
      <c r="I194" t="s">
        <v>161</v>
      </c>
    </row>
    <row r="195" spans="1:9" x14ac:dyDescent="0.3">
      <c r="A195" s="2"/>
      <c r="B195" s="3" t="s">
        <v>166</v>
      </c>
      <c r="C195" s="3"/>
      <c r="D195" s="3"/>
      <c r="E195" s="3"/>
      <c r="F195" s="6">
        <v>45777</v>
      </c>
      <c r="G195" s="7">
        <v>6795.01</v>
      </c>
    </row>
    <row r="196" spans="1:9" x14ac:dyDescent="0.3">
      <c r="A196" s="2"/>
      <c r="B196" s="3" t="s">
        <v>167</v>
      </c>
      <c r="C196" s="3"/>
      <c r="D196" s="3"/>
      <c r="E196" s="3"/>
      <c r="F196" s="6">
        <v>45777</v>
      </c>
      <c r="G196" s="7">
        <v>0</v>
      </c>
    </row>
    <row r="197" spans="1:9" x14ac:dyDescent="0.3">
      <c r="A197" s="2"/>
      <c r="B197" s="3" t="s">
        <v>173</v>
      </c>
      <c r="C197" s="3" t="s">
        <v>257</v>
      </c>
      <c r="D197" s="3" t="s">
        <v>273</v>
      </c>
      <c r="E197" s="3" t="s">
        <v>271</v>
      </c>
      <c r="F197" s="6">
        <v>45777</v>
      </c>
      <c r="G197" s="7">
        <v>308049.3</v>
      </c>
      <c r="H197" t="s">
        <v>237</v>
      </c>
      <c r="I197" t="s">
        <v>161</v>
      </c>
    </row>
    <row r="198" spans="1:9" x14ac:dyDescent="0.3">
      <c r="A198" s="2"/>
      <c r="B198" s="3" t="s">
        <v>174</v>
      </c>
      <c r="C198" s="3" t="s">
        <v>257</v>
      </c>
      <c r="D198" s="3" t="s">
        <v>273</v>
      </c>
      <c r="E198" s="3" t="s">
        <v>271</v>
      </c>
      <c r="F198" s="6">
        <v>45777</v>
      </c>
      <c r="G198" s="7">
        <v>43250</v>
      </c>
      <c r="H198" t="s">
        <v>167</v>
      </c>
      <c r="I198" t="s">
        <v>161</v>
      </c>
    </row>
    <row r="199" spans="1:9" x14ac:dyDescent="0.3">
      <c r="A199" s="2"/>
      <c r="B199" s="3" t="s">
        <v>175</v>
      </c>
      <c r="C199" s="3"/>
      <c r="D199" s="3"/>
      <c r="E199" s="3"/>
      <c r="F199" s="6">
        <v>45777</v>
      </c>
      <c r="G199" s="7">
        <v>351299.3</v>
      </c>
    </row>
    <row r="200" spans="1:9" x14ac:dyDescent="0.3">
      <c r="A200" s="2"/>
      <c r="B200" s="3" t="s">
        <v>176</v>
      </c>
      <c r="C200" s="3"/>
      <c r="D200" s="3"/>
      <c r="E200" s="3"/>
      <c r="F200" s="6">
        <v>45777</v>
      </c>
      <c r="G200" s="7">
        <v>406127.23</v>
      </c>
    </row>
    <row r="201" spans="1:9" x14ac:dyDescent="0.3">
      <c r="A201" s="2"/>
      <c r="B201" s="3" t="s">
        <v>177</v>
      </c>
      <c r="C201" s="3"/>
      <c r="D201" s="3"/>
      <c r="E201" s="3"/>
      <c r="F201" s="6">
        <v>45777</v>
      </c>
      <c r="G201" s="7">
        <v>0</v>
      </c>
    </row>
    <row r="202" spans="1:9" x14ac:dyDescent="0.3">
      <c r="A202" s="2"/>
      <c r="B202" s="3" t="s">
        <v>178</v>
      </c>
      <c r="C202" s="3" t="s">
        <v>274</v>
      </c>
      <c r="D202" s="3" t="s">
        <v>275</v>
      </c>
      <c r="E202" s="3" t="s">
        <v>271</v>
      </c>
      <c r="F202" s="6">
        <v>45777</v>
      </c>
      <c r="G202" s="7">
        <v>90000</v>
      </c>
      <c r="H202" t="s">
        <v>239</v>
      </c>
      <c r="I202" t="s">
        <v>177</v>
      </c>
    </row>
    <row r="203" spans="1:9" x14ac:dyDescent="0.3">
      <c r="A203" s="2"/>
      <c r="B203" s="3" t="s">
        <v>179</v>
      </c>
      <c r="C203" s="3"/>
      <c r="D203" s="3"/>
      <c r="E203" s="3"/>
      <c r="F203" s="6">
        <v>45777</v>
      </c>
      <c r="G203" s="7">
        <v>90000</v>
      </c>
    </row>
    <row r="204" spans="1:9" x14ac:dyDescent="0.3">
      <c r="A204" s="2"/>
      <c r="B204" s="3" t="s">
        <v>14</v>
      </c>
      <c r="C204" s="3"/>
      <c r="D204" s="3"/>
      <c r="E204" s="3"/>
      <c r="F204" s="6">
        <v>45777</v>
      </c>
      <c r="G204" s="7">
        <v>496127.23</v>
      </c>
    </row>
    <row r="205" spans="1:9" x14ac:dyDescent="0.3">
      <c r="A205" s="2"/>
      <c r="B205" s="3" t="s">
        <v>180</v>
      </c>
      <c r="C205" s="3"/>
      <c r="D205" s="3"/>
      <c r="E205" s="3"/>
      <c r="F205" s="6">
        <v>45777</v>
      </c>
      <c r="G205" s="7">
        <v>0</v>
      </c>
    </row>
    <row r="206" spans="1:9" x14ac:dyDescent="0.3">
      <c r="A206" s="2"/>
      <c r="B206" s="3" t="s">
        <v>181</v>
      </c>
      <c r="C206" s="3" t="s">
        <v>180</v>
      </c>
      <c r="D206" s="3" t="s">
        <v>276</v>
      </c>
      <c r="E206" s="3" t="s">
        <v>180</v>
      </c>
      <c r="F206" s="6">
        <v>45777</v>
      </c>
      <c r="G206" s="7">
        <v>0</v>
      </c>
      <c r="H206" t="s">
        <v>240</v>
      </c>
      <c r="I206" t="s">
        <v>180</v>
      </c>
    </row>
    <row r="207" spans="1:9" x14ac:dyDescent="0.3">
      <c r="A207" s="2"/>
      <c r="B207" s="3" t="s">
        <v>563</v>
      </c>
      <c r="C207" s="3" t="s">
        <v>180</v>
      </c>
      <c r="D207" s="3" t="s">
        <v>277</v>
      </c>
      <c r="E207" s="3" t="s">
        <v>180</v>
      </c>
      <c r="F207" s="6">
        <v>45777</v>
      </c>
      <c r="G207" s="7">
        <v>0</v>
      </c>
      <c r="H207" t="s">
        <v>240</v>
      </c>
      <c r="I207" t="s">
        <v>180</v>
      </c>
    </row>
    <row r="208" spans="1:9" x14ac:dyDescent="0.3">
      <c r="A208" s="2"/>
      <c r="B208" s="3" t="s">
        <v>564</v>
      </c>
      <c r="C208" s="3" t="s">
        <v>180</v>
      </c>
      <c r="D208" s="3" t="s">
        <v>278</v>
      </c>
      <c r="E208" s="3" t="s">
        <v>180</v>
      </c>
      <c r="F208" s="6">
        <v>45777</v>
      </c>
      <c r="G208" s="7">
        <v>-458.77</v>
      </c>
      <c r="H208" t="s">
        <v>240</v>
      </c>
      <c r="I208" t="s">
        <v>180</v>
      </c>
    </row>
    <row r="209" spans="1:9" x14ac:dyDescent="0.3">
      <c r="A209" s="2"/>
      <c r="B209" s="3" t="s">
        <v>565</v>
      </c>
      <c r="C209" s="3"/>
      <c r="D209" s="3"/>
      <c r="E209" s="3"/>
      <c r="F209" s="6">
        <v>45777</v>
      </c>
      <c r="G209" s="7">
        <v>-458.77</v>
      </c>
    </row>
    <row r="210" spans="1:9" x14ac:dyDescent="0.3">
      <c r="A210" s="2"/>
      <c r="B210" s="3" t="s">
        <v>185</v>
      </c>
      <c r="C210" s="3" t="s">
        <v>180</v>
      </c>
      <c r="D210" s="3" t="s">
        <v>279</v>
      </c>
      <c r="E210" s="3" t="s">
        <v>180</v>
      </c>
      <c r="F210" s="6">
        <v>45777</v>
      </c>
      <c r="G210" s="7">
        <v>406280.27</v>
      </c>
      <c r="H210" t="s">
        <v>240</v>
      </c>
      <c r="I210" t="s">
        <v>180</v>
      </c>
    </row>
    <row r="211" spans="1:9" x14ac:dyDescent="0.3">
      <c r="A211" s="2"/>
      <c r="B211" s="3" t="s">
        <v>186</v>
      </c>
      <c r="C211" s="3" t="s">
        <v>180</v>
      </c>
      <c r="D211" s="3" t="s">
        <v>278</v>
      </c>
      <c r="E211" s="3" t="s">
        <v>180</v>
      </c>
      <c r="F211" s="6">
        <v>45777</v>
      </c>
      <c r="G211" s="7">
        <v>0</v>
      </c>
    </row>
    <row r="212" spans="1:9" x14ac:dyDescent="0.3">
      <c r="A212" s="2"/>
      <c r="B212" s="3" t="s">
        <v>12</v>
      </c>
      <c r="C212" s="3" t="s">
        <v>180</v>
      </c>
      <c r="D212" s="3"/>
      <c r="E212" s="3" t="s">
        <v>180</v>
      </c>
      <c r="F212" s="6">
        <v>45777</v>
      </c>
      <c r="G212" s="7">
        <v>22051.31</v>
      </c>
    </row>
    <row r="213" spans="1:9" x14ac:dyDescent="0.3">
      <c r="A213" s="2"/>
      <c r="B213" s="3" t="s">
        <v>15</v>
      </c>
      <c r="C213" s="3"/>
      <c r="D213" s="3"/>
      <c r="E213" s="3"/>
      <c r="F213" s="6">
        <v>45777</v>
      </c>
      <c r="G213" s="7">
        <v>427872.81</v>
      </c>
    </row>
    <row r="214" spans="1:9" x14ac:dyDescent="0.3">
      <c r="A214" s="2"/>
      <c r="B214" s="3" t="s">
        <v>187</v>
      </c>
      <c r="C214" s="3"/>
      <c r="D214" s="3"/>
      <c r="E214" s="3"/>
      <c r="F214" s="6">
        <v>45777</v>
      </c>
      <c r="G214" s="7">
        <v>924000.04</v>
      </c>
    </row>
    <row r="215" spans="1:9" x14ac:dyDescent="0.3">
      <c r="A215" s="2"/>
      <c r="B215" s="3" t="s">
        <v>136</v>
      </c>
      <c r="C215" s="3"/>
      <c r="D215" s="3"/>
      <c r="E215" s="3"/>
      <c r="F215" s="6">
        <v>45808</v>
      </c>
      <c r="G215" s="7">
        <v>0</v>
      </c>
    </row>
    <row r="216" spans="1:9" x14ac:dyDescent="0.3">
      <c r="A216" s="2"/>
      <c r="B216" s="3" t="s">
        <v>137</v>
      </c>
      <c r="C216" s="3"/>
      <c r="D216" s="3"/>
      <c r="E216" s="3"/>
      <c r="F216" s="6">
        <v>45808</v>
      </c>
      <c r="G216" s="7">
        <v>0</v>
      </c>
    </row>
    <row r="217" spans="1:9" x14ac:dyDescent="0.3">
      <c r="A217" s="2"/>
      <c r="B217" s="3" t="s">
        <v>138</v>
      </c>
      <c r="C217" s="3"/>
      <c r="D217" s="3"/>
      <c r="E217" s="3"/>
      <c r="F217" s="6">
        <v>45808</v>
      </c>
      <c r="G217" s="7">
        <v>0</v>
      </c>
    </row>
    <row r="218" spans="1:9" x14ac:dyDescent="0.3">
      <c r="A218" s="2"/>
      <c r="B218" s="3" t="s">
        <v>553</v>
      </c>
      <c r="C218" s="3" t="s">
        <v>254</v>
      </c>
      <c r="D218" s="3" t="s">
        <v>262</v>
      </c>
      <c r="E218" s="3" t="s">
        <v>263</v>
      </c>
      <c r="F218" s="6">
        <v>45808</v>
      </c>
      <c r="G218" s="7">
        <v>584143.94999999995</v>
      </c>
      <c r="H218" t="s">
        <v>232</v>
      </c>
      <c r="I218" t="s">
        <v>137</v>
      </c>
    </row>
    <row r="219" spans="1:9" x14ac:dyDescent="0.3">
      <c r="A219" s="2"/>
      <c r="B219" s="3" t="s">
        <v>554</v>
      </c>
      <c r="C219" s="3" t="s">
        <v>254</v>
      </c>
      <c r="D219" s="3" t="s">
        <v>262</v>
      </c>
      <c r="E219" s="3" t="s">
        <v>263</v>
      </c>
      <c r="F219" s="6">
        <v>45808</v>
      </c>
      <c r="G219" s="7">
        <v>10000</v>
      </c>
      <c r="H219" t="s">
        <v>232</v>
      </c>
      <c r="I219" t="s">
        <v>137</v>
      </c>
    </row>
    <row r="220" spans="1:9" x14ac:dyDescent="0.3">
      <c r="A220" s="2"/>
      <c r="B220" s="3" t="s">
        <v>139</v>
      </c>
      <c r="C220" s="3"/>
      <c r="D220" s="3"/>
      <c r="E220" s="3"/>
      <c r="F220" s="6">
        <v>45808</v>
      </c>
      <c r="G220" s="7">
        <v>594143.94999999995</v>
      </c>
    </row>
    <row r="221" spans="1:9" x14ac:dyDescent="0.3">
      <c r="A221" s="2"/>
      <c r="B221" s="3" t="s">
        <v>140</v>
      </c>
      <c r="C221" s="3"/>
      <c r="D221" s="3"/>
      <c r="E221" s="3"/>
      <c r="F221" s="6">
        <v>45808</v>
      </c>
      <c r="G221" s="7">
        <v>0</v>
      </c>
    </row>
    <row r="222" spans="1:9" x14ac:dyDescent="0.3">
      <c r="A222" s="2"/>
      <c r="B222" s="3" t="s">
        <v>141</v>
      </c>
      <c r="C222" s="3" t="s">
        <v>140</v>
      </c>
      <c r="D222" s="3" t="s">
        <v>264</v>
      </c>
      <c r="E222" s="3" t="s">
        <v>263</v>
      </c>
      <c r="F222" s="6">
        <v>45808</v>
      </c>
      <c r="G222" s="7">
        <v>196693.72</v>
      </c>
      <c r="H222" t="s">
        <v>233</v>
      </c>
      <c r="I222" t="s">
        <v>137</v>
      </c>
    </row>
    <row r="223" spans="1:9" x14ac:dyDescent="0.3">
      <c r="A223" s="2"/>
      <c r="B223" s="3" t="s">
        <v>142</v>
      </c>
      <c r="C223" s="3"/>
      <c r="D223" s="3"/>
      <c r="E223" s="3"/>
      <c r="F223" s="6">
        <v>45808</v>
      </c>
      <c r="G223" s="7">
        <v>196693.72</v>
      </c>
    </row>
    <row r="224" spans="1:9" x14ac:dyDescent="0.3">
      <c r="A224" s="2"/>
      <c r="B224" s="3" t="s">
        <v>143</v>
      </c>
      <c r="C224" s="3" t="s">
        <v>255</v>
      </c>
      <c r="D224" s="3" t="s">
        <v>265</v>
      </c>
      <c r="E224" s="3" t="s">
        <v>263</v>
      </c>
      <c r="F224" s="6">
        <v>45808</v>
      </c>
      <c r="G224" s="7">
        <v>0</v>
      </c>
    </row>
    <row r="225" spans="1:9" x14ac:dyDescent="0.3">
      <c r="A225" s="2"/>
      <c r="B225" s="3" t="s">
        <v>146</v>
      </c>
      <c r="C225" s="3" t="s">
        <v>255</v>
      </c>
      <c r="D225" s="3" t="s">
        <v>266</v>
      </c>
      <c r="E225" s="3" t="s">
        <v>263</v>
      </c>
      <c r="F225" s="6">
        <v>45808</v>
      </c>
      <c r="G225" s="7">
        <v>0</v>
      </c>
      <c r="H225" t="s">
        <v>143</v>
      </c>
      <c r="I225" t="s">
        <v>137</v>
      </c>
    </row>
    <row r="226" spans="1:9" x14ac:dyDescent="0.3">
      <c r="A226" s="2"/>
      <c r="B226" s="3" t="s">
        <v>562</v>
      </c>
      <c r="C226" s="3" t="s">
        <v>255</v>
      </c>
      <c r="D226" s="3" t="s">
        <v>266</v>
      </c>
      <c r="E226" s="3" t="s">
        <v>263</v>
      </c>
      <c r="F226" s="6">
        <v>45808</v>
      </c>
      <c r="G226" s="7">
        <v>380</v>
      </c>
      <c r="H226" t="s">
        <v>143</v>
      </c>
      <c r="I226" t="s">
        <v>137</v>
      </c>
    </row>
    <row r="227" spans="1:9" x14ac:dyDescent="0.3">
      <c r="A227" s="2"/>
      <c r="B227" s="3" t="s">
        <v>149</v>
      </c>
      <c r="C227" s="3"/>
      <c r="D227" s="3"/>
      <c r="E227" s="3"/>
      <c r="F227" s="6">
        <v>45808</v>
      </c>
      <c r="G227" s="7">
        <v>380</v>
      </c>
    </row>
    <row r="228" spans="1:9" x14ac:dyDescent="0.3">
      <c r="A228" s="2"/>
      <c r="B228" s="3" t="s">
        <v>150</v>
      </c>
      <c r="C228" s="3" t="s">
        <v>255</v>
      </c>
      <c r="D228" s="3" t="s">
        <v>265</v>
      </c>
      <c r="E228" s="3" t="s">
        <v>263</v>
      </c>
      <c r="F228" s="6">
        <v>45808</v>
      </c>
      <c r="G228" s="7">
        <v>0</v>
      </c>
      <c r="H228" t="s">
        <v>143</v>
      </c>
      <c r="I228" t="s">
        <v>137</v>
      </c>
    </row>
    <row r="229" spans="1:9" x14ac:dyDescent="0.3">
      <c r="A229" s="2"/>
      <c r="B229" s="3" t="s">
        <v>151</v>
      </c>
      <c r="C229" s="3" t="s">
        <v>255</v>
      </c>
      <c r="D229" s="3" t="s">
        <v>267</v>
      </c>
      <c r="E229" s="3" t="s">
        <v>263</v>
      </c>
      <c r="F229" s="6">
        <v>45808</v>
      </c>
      <c r="G229" s="7">
        <v>0</v>
      </c>
      <c r="H229" t="s">
        <v>143</v>
      </c>
      <c r="I229" t="s">
        <v>137</v>
      </c>
    </row>
    <row r="230" spans="1:9" x14ac:dyDescent="0.3">
      <c r="A230" s="2"/>
      <c r="B230" s="3" t="s">
        <v>152</v>
      </c>
      <c r="C230" s="3"/>
      <c r="D230" s="3"/>
      <c r="E230" s="3"/>
      <c r="F230" s="6">
        <v>45808</v>
      </c>
      <c r="G230" s="7">
        <v>380</v>
      </c>
    </row>
    <row r="231" spans="1:9" x14ac:dyDescent="0.3">
      <c r="A231" s="2"/>
      <c r="B231" s="3" t="s">
        <v>153</v>
      </c>
      <c r="C231" s="3"/>
      <c r="D231" s="3"/>
      <c r="E231" s="3"/>
      <c r="F231" s="6">
        <v>45808</v>
      </c>
      <c r="G231" s="7">
        <v>791217.67</v>
      </c>
    </row>
    <row r="232" spans="1:9" x14ac:dyDescent="0.3">
      <c r="A232" s="2"/>
      <c r="B232" s="3" t="s">
        <v>154</v>
      </c>
      <c r="C232" s="3"/>
      <c r="D232" s="3"/>
      <c r="E232" s="3"/>
      <c r="F232" s="6">
        <v>45808</v>
      </c>
      <c r="G232" s="7">
        <v>0</v>
      </c>
    </row>
    <row r="233" spans="1:9" x14ac:dyDescent="0.3">
      <c r="A233" s="2"/>
      <c r="B233" s="3" t="s">
        <v>155</v>
      </c>
      <c r="C233" s="3" t="s">
        <v>268</v>
      </c>
      <c r="D233" s="3" t="s">
        <v>269</v>
      </c>
      <c r="E233" s="3" t="s">
        <v>263</v>
      </c>
      <c r="F233" s="6">
        <v>45808</v>
      </c>
      <c r="G233" s="7">
        <v>0</v>
      </c>
      <c r="H233" t="s">
        <v>235</v>
      </c>
      <c r="I233" t="s">
        <v>234</v>
      </c>
    </row>
    <row r="234" spans="1:9" x14ac:dyDescent="0.3">
      <c r="A234" s="2"/>
      <c r="B234" s="3" t="s">
        <v>542</v>
      </c>
      <c r="C234" s="3" t="s">
        <v>268</v>
      </c>
      <c r="D234" s="3" t="s">
        <v>269</v>
      </c>
      <c r="E234" s="3" t="s">
        <v>263</v>
      </c>
      <c r="F234" s="6">
        <v>45808</v>
      </c>
      <c r="G234" s="7">
        <v>100000</v>
      </c>
      <c r="H234" t="s">
        <v>235</v>
      </c>
      <c r="I234" t="s">
        <v>234</v>
      </c>
    </row>
    <row r="235" spans="1:9" x14ac:dyDescent="0.3">
      <c r="A235" s="2"/>
      <c r="B235" s="3" t="s">
        <v>156</v>
      </c>
      <c r="C235" s="3"/>
      <c r="D235" s="3"/>
      <c r="E235" s="3"/>
      <c r="F235" s="6">
        <v>45808</v>
      </c>
      <c r="G235" s="7">
        <v>100000</v>
      </c>
    </row>
    <row r="236" spans="1:9" x14ac:dyDescent="0.3">
      <c r="A236" s="2"/>
      <c r="B236" s="3" t="s">
        <v>157</v>
      </c>
      <c r="C236" s="3"/>
      <c r="D236" s="3"/>
      <c r="E236" s="3"/>
      <c r="F236" s="6">
        <v>45808</v>
      </c>
      <c r="G236" s="7">
        <v>100000</v>
      </c>
    </row>
    <row r="237" spans="1:9" x14ac:dyDescent="0.3">
      <c r="A237" s="2"/>
      <c r="B237" s="3" t="s">
        <v>158</v>
      </c>
      <c r="C237" s="3"/>
      <c r="D237" s="3"/>
      <c r="E237" s="3"/>
      <c r="F237" s="6">
        <v>45808</v>
      </c>
      <c r="G237" s="7">
        <v>891217.67</v>
      </c>
    </row>
    <row r="238" spans="1:9" x14ac:dyDescent="0.3">
      <c r="A238" s="2"/>
      <c r="B238" s="3" t="s">
        <v>159</v>
      </c>
      <c r="C238" s="3"/>
      <c r="D238" s="3"/>
      <c r="E238" s="3"/>
      <c r="F238" s="6">
        <v>45808</v>
      </c>
      <c r="G238" s="7">
        <v>0</v>
      </c>
    </row>
    <row r="239" spans="1:9" x14ac:dyDescent="0.3">
      <c r="A239" s="2"/>
      <c r="B239" s="3" t="s">
        <v>160</v>
      </c>
      <c r="C239" s="3"/>
      <c r="D239" s="3"/>
      <c r="E239" s="3"/>
      <c r="F239" s="6">
        <v>45808</v>
      </c>
      <c r="G239" s="7">
        <v>0</v>
      </c>
    </row>
    <row r="240" spans="1:9" x14ac:dyDescent="0.3">
      <c r="A240" s="2"/>
      <c r="B240" s="3" t="s">
        <v>161</v>
      </c>
      <c r="C240" s="3"/>
      <c r="D240" s="3"/>
      <c r="E240" s="3"/>
      <c r="F240" s="6">
        <v>45808</v>
      </c>
      <c r="G240" s="7">
        <v>0</v>
      </c>
    </row>
    <row r="241" spans="1:9" x14ac:dyDescent="0.3">
      <c r="A241" s="2"/>
      <c r="B241" s="3" t="s">
        <v>162</v>
      </c>
      <c r="C241" s="3"/>
      <c r="D241" s="3"/>
      <c r="E241" s="3"/>
      <c r="F241" s="6">
        <v>45808</v>
      </c>
      <c r="G241" s="7">
        <v>0</v>
      </c>
    </row>
    <row r="242" spans="1:9" x14ac:dyDescent="0.3">
      <c r="A242" s="2"/>
      <c r="B242" s="3" t="s">
        <v>163</v>
      </c>
      <c r="C242" s="3" t="s">
        <v>162</v>
      </c>
      <c r="D242" s="3" t="s">
        <v>270</v>
      </c>
      <c r="E242" s="3" t="s">
        <v>271</v>
      </c>
      <c r="F242" s="6">
        <v>45808</v>
      </c>
      <c r="G242" s="7">
        <v>6171.16</v>
      </c>
      <c r="H242" t="s">
        <v>162</v>
      </c>
      <c r="I242" t="s">
        <v>161</v>
      </c>
    </row>
    <row r="243" spans="1:9" x14ac:dyDescent="0.3">
      <c r="A243" s="2"/>
      <c r="B243" s="3" t="s">
        <v>164</v>
      </c>
      <c r="C243" s="3"/>
      <c r="D243" s="3"/>
      <c r="E243" s="3"/>
      <c r="F243" s="6">
        <v>45808</v>
      </c>
      <c r="G243" s="7">
        <v>6171.16</v>
      </c>
    </row>
    <row r="244" spans="1:9" x14ac:dyDescent="0.3">
      <c r="A244" s="2"/>
      <c r="B244" s="3" t="s">
        <v>165</v>
      </c>
      <c r="C244" s="3" t="s">
        <v>256</v>
      </c>
      <c r="D244" s="3" t="s">
        <v>272</v>
      </c>
      <c r="E244" s="3" t="s">
        <v>271</v>
      </c>
      <c r="F244" s="6">
        <v>45808</v>
      </c>
      <c r="G244" s="7">
        <v>0</v>
      </c>
    </row>
    <row r="245" spans="1:9" x14ac:dyDescent="0.3">
      <c r="A245" s="2"/>
      <c r="B245" s="3" t="s">
        <v>545</v>
      </c>
      <c r="C245" s="3" t="s">
        <v>256</v>
      </c>
      <c r="D245" s="3" t="s">
        <v>272</v>
      </c>
      <c r="E245" s="3" t="s">
        <v>271</v>
      </c>
      <c r="F245" s="6">
        <v>45808</v>
      </c>
      <c r="G245" s="7">
        <v>10584.68</v>
      </c>
      <c r="H245" t="s">
        <v>162</v>
      </c>
      <c r="I245" t="s">
        <v>161</v>
      </c>
    </row>
    <row r="246" spans="1:9" x14ac:dyDescent="0.3">
      <c r="A246" s="2"/>
      <c r="B246" s="3" t="s">
        <v>546</v>
      </c>
      <c r="C246" s="3" t="s">
        <v>256</v>
      </c>
      <c r="D246" s="3" t="s">
        <v>272</v>
      </c>
      <c r="E246" s="3" t="s">
        <v>271</v>
      </c>
      <c r="F246" s="6">
        <v>45808</v>
      </c>
      <c r="G246" s="7">
        <v>0</v>
      </c>
      <c r="H246" t="s">
        <v>162</v>
      </c>
      <c r="I246" t="s">
        <v>161</v>
      </c>
    </row>
    <row r="247" spans="1:9" x14ac:dyDescent="0.3">
      <c r="A247" s="2"/>
      <c r="B247" s="3" t="s">
        <v>547</v>
      </c>
      <c r="C247" s="3" t="s">
        <v>256</v>
      </c>
      <c r="D247" s="3" t="s">
        <v>272</v>
      </c>
      <c r="E247" s="3" t="s">
        <v>271</v>
      </c>
      <c r="F247" s="6">
        <v>45808</v>
      </c>
      <c r="G247" s="7">
        <v>676.76</v>
      </c>
      <c r="H247" t="s">
        <v>162</v>
      </c>
      <c r="I247" t="s">
        <v>161</v>
      </c>
    </row>
    <row r="248" spans="1:9" x14ac:dyDescent="0.3">
      <c r="A248" s="2"/>
      <c r="B248" s="3" t="s">
        <v>166</v>
      </c>
      <c r="C248" s="3"/>
      <c r="D248" s="3"/>
      <c r="E248" s="3"/>
      <c r="F248" s="6">
        <v>45808</v>
      </c>
      <c r="G248" s="7">
        <v>11261.44</v>
      </c>
    </row>
    <row r="249" spans="1:9" x14ac:dyDescent="0.3">
      <c r="A249" s="2"/>
      <c r="B249" s="3" t="s">
        <v>167</v>
      </c>
      <c r="C249" s="3"/>
      <c r="D249" s="3"/>
      <c r="E249" s="3"/>
      <c r="F249" s="6">
        <v>45808</v>
      </c>
      <c r="G249" s="7">
        <v>0</v>
      </c>
    </row>
    <row r="250" spans="1:9" x14ac:dyDescent="0.3">
      <c r="A250" s="2"/>
      <c r="B250" s="3" t="s">
        <v>173</v>
      </c>
      <c r="C250" s="3" t="s">
        <v>257</v>
      </c>
      <c r="D250" s="3" t="s">
        <v>273</v>
      </c>
      <c r="E250" s="3" t="s">
        <v>271</v>
      </c>
      <c r="F250" s="6">
        <v>45808</v>
      </c>
      <c r="G250" s="7">
        <v>286361.25</v>
      </c>
      <c r="H250" t="s">
        <v>237</v>
      </c>
      <c r="I250" t="s">
        <v>161</v>
      </c>
    </row>
    <row r="251" spans="1:9" x14ac:dyDescent="0.3">
      <c r="A251" s="2"/>
      <c r="B251" s="3" t="s">
        <v>174</v>
      </c>
      <c r="C251" s="3" t="s">
        <v>257</v>
      </c>
      <c r="D251" s="3" t="s">
        <v>273</v>
      </c>
      <c r="E251" s="3" t="s">
        <v>271</v>
      </c>
      <c r="F251" s="6">
        <v>45808</v>
      </c>
      <c r="G251" s="7">
        <v>44250</v>
      </c>
      <c r="H251" t="s">
        <v>167</v>
      </c>
      <c r="I251" t="s">
        <v>161</v>
      </c>
    </row>
    <row r="252" spans="1:9" x14ac:dyDescent="0.3">
      <c r="A252" s="2"/>
      <c r="B252" s="3" t="s">
        <v>175</v>
      </c>
      <c r="C252" s="3"/>
      <c r="D252" s="3"/>
      <c r="E252" s="3"/>
      <c r="F252" s="6">
        <v>45808</v>
      </c>
      <c r="G252" s="7">
        <v>330611.25</v>
      </c>
    </row>
    <row r="253" spans="1:9" x14ac:dyDescent="0.3">
      <c r="A253" s="2"/>
      <c r="B253" s="3" t="s">
        <v>176</v>
      </c>
      <c r="C253" s="3"/>
      <c r="D253" s="3"/>
      <c r="E253" s="3"/>
      <c r="F253" s="6">
        <v>45808</v>
      </c>
      <c r="G253" s="7">
        <v>348043.85</v>
      </c>
    </row>
    <row r="254" spans="1:9" x14ac:dyDescent="0.3">
      <c r="A254" s="2"/>
      <c r="B254" s="3" t="s">
        <v>177</v>
      </c>
      <c r="C254" s="3"/>
      <c r="D254" s="3"/>
      <c r="E254" s="3"/>
      <c r="F254" s="6">
        <v>45808</v>
      </c>
      <c r="G254" s="7">
        <v>0</v>
      </c>
    </row>
    <row r="255" spans="1:9" x14ac:dyDescent="0.3">
      <c r="A255" s="2"/>
      <c r="B255" s="3" t="s">
        <v>178</v>
      </c>
      <c r="C255" s="3" t="s">
        <v>274</v>
      </c>
      <c r="D255" s="3" t="s">
        <v>275</v>
      </c>
      <c r="E255" s="3" t="s">
        <v>271</v>
      </c>
      <c r="F255" s="6">
        <v>45808</v>
      </c>
      <c r="G255" s="7">
        <v>90000</v>
      </c>
      <c r="H255" t="s">
        <v>239</v>
      </c>
      <c r="I255" t="s">
        <v>177</v>
      </c>
    </row>
    <row r="256" spans="1:9" x14ac:dyDescent="0.3">
      <c r="A256" s="2"/>
      <c r="B256" s="3" t="s">
        <v>179</v>
      </c>
      <c r="C256" s="3"/>
      <c r="D256" s="3"/>
      <c r="E256" s="3"/>
      <c r="F256" s="6">
        <v>45808</v>
      </c>
      <c r="G256" s="7">
        <v>90000</v>
      </c>
    </row>
    <row r="257" spans="1:9" x14ac:dyDescent="0.3">
      <c r="A257" s="2"/>
      <c r="B257" s="3" t="s">
        <v>14</v>
      </c>
      <c r="C257" s="3"/>
      <c r="D257" s="3"/>
      <c r="E257" s="3"/>
      <c r="F257" s="6">
        <v>45808</v>
      </c>
      <c r="G257" s="7">
        <v>438043.85</v>
      </c>
    </row>
    <row r="258" spans="1:9" x14ac:dyDescent="0.3">
      <c r="A258" s="2"/>
      <c r="B258" s="3" t="s">
        <v>180</v>
      </c>
      <c r="C258" s="3"/>
      <c r="D258" s="3"/>
      <c r="E258" s="3"/>
      <c r="F258" s="6">
        <v>45808</v>
      </c>
      <c r="G258" s="7">
        <v>0</v>
      </c>
    </row>
    <row r="259" spans="1:9" x14ac:dyDescent="0.3">
      <c r="A259" s="2"/>
      <c r="B259" s="3" t="s">
        <v>181</v>
      </c>
      <c r="C259" s="3" t="s">
        <v>180</v>
      </c>
      <c r="D259" s="3" t="s">
        <v>276</v>
      </c>
      <c r="E259" s="3" t="s">
        <v>180</v>
      </c>
      <c r="F259" s="6">
        <v>45808</v>
      </c>
      <c r="G259" s="7">
        <v>0</v>
      </c>
      <c r="H259" t="s">
        <v>240</v>
      </c>
      <c r="I259" t="s">
        <v>180</v>
      </c>
    </row>
    <row r="260" spans="1:9" x14ac:dyDescent="0.3">
      <c r="A260" s="2"/>
      <c r="B260" s="3" t="s">
        <v>563</v>
      </c>
      <c r="C260" s="3" t="s">
        <v>180</v>
      </c>
      <c r="D260" s="3" t="s">
        <v>277</v>
      </c>
      <c r="E260" s="3" t="s">
        <v>180</v>
      </c>
      <c r="F260" s="6">
        <v>45808</v>
      </c>
      <c r="G260" s="7">
        <v>0</v>
      </c>
      <c r="H260" t="s">
        <v>240</v>
      </c>
      <c r="I260" t="s">
        <v>180</v>
      </c>
    </row>
    <row r="261" spans="1:9" x14ac:dyDescent="0.3">
      <c r="A261" s="2"/>
      <c r="B261" s="3" t="s">
        <v>564</v>
      </c>
      <c r="C261" s="3" t="s">
        <v>180</v>
      </c>
      <c r="D261" s="3" t="s">
        <v>278</v>
      </c>
      <c r="E261" s="3" t="s">
        <v>180</v>
      </c>
      <c r="F261" s="6">
        <v>45808</v>
      </c>
      <c r="G261" s="7">
        <v>-612.87</v>
      </c>
      <c r="H261" t="s">
        <v>240</v>
      </c>
      <c r="I261" t="s">
        <v>180</v>
      </c>
    </row>
    <row r="262" spans="1:9" x14ac:dyDescent="0.3">
      <c r="A262" s="2"/>
      <c r="B262" s="3" t="s">
        <v>565</v>
      </c>
      <c r="C262" s="3"/>
      <c r="D262" s="3"/>
      <c r="E262" s="3"/>
      <c r="F262" s="6">
        <v>45808</v>
      </c>
      <c r="G262" s="7">
        <v>-612.87</v>
      </c>
    </row>
    <row r="263" spans="1:9" x14ac:dyDescent="0.3">
      <c r="A263" s="2"/>
      <c r="B263" s="3" t="s">
        <v>185</v>
      </c>
      <c r="C263" s="3" t="s">
        <v>180</v>
      </c>
      <c r="D263" s="3" t="s">
        <v>279</v>
      </c>
      <c r="E263" s="3" t="s">
        <v>180</v>
      </c>
      <c r="F263" s="6">
        <v>45808</v>
      </c>
      <c r="G263" s="7">
        <v>406280.27</v>
      </c>
      <c r="H263" t="s">
        <v>240</v>
      </c>
      <c r="I263" t="s">
        <v>180</v>
      </c>
    </row>
    <row r="264" spans="1:9" x14ac:dyDescent="0.3">
      <c r="A264" s="2"/>
      <c r="B264" s="3" t="s">
        <v>186</v>
      </c>
      <c r="C264" s="3" t="s">
        <v>180</v>
      </c>
      <c r="D264" s="3" t="s">
        <v>278</v>
      </c>
      <c r="E264" s="3" t="s">
        <v>180</v>
      </c>
      <c r="F264" s="6">
        <v>45808</v>
      </c>
      <c r="G264" s="7">
        <v>0</v>
      </c>
    </row>
    <row r="265" spans="1:9" x14ac:dyDescent="0.3">
      <c r="A265" s="2"/>
      <c r="B265" s="3" t="s">
        <v>12</v>
      </c>
      <c r="C265" s="3" t="s">
        <v>180</v>
      </c>
      <c r="D265" s="3"/>
      <c r="E265" s="3" t="s">
        <v>180</v>
      </c>
      <c r="F265" s="6">
        <v>45808</v>
      </c>
      <c r="G265" s="7">
        <v>47506.42</v>
      </c>
    </row>
    <row r="266" spans="1:9" x14ac:dyDescent="0.3">
      <c r="A266" s="2"/>
      <c r="B266" s="3" t="s">
        <v>15</v>
      </c>
      <c r="C266" s="3"/>
      <c r="D266" s="3"/>
      <c r="E266" s="3"/>
      <c r="F266" s="6">
        <v>45808</v>
      </c>
      <c r="G266" s="7">
        <v>453173.82</v>
      </c>
    </row>
    <row r="267" spans="1:9" x14ac:dyDescent="0.3">
      <c r="A267" s="2"/>
      <c r="B267" s="3" t="s">
        <v>187</v>
      </c>
      <c r="C267" s="3"/>
      <c r="D267" s="3"/>
      <c r="E267" s="3"/>
      <c r="F267" s="6">
        <v>45808</v>
      </c>
      <c r="G267" s="7">
        <v>891217.67</v>
      </c>
    </row>
    <row r="268" spans="1:9" x14ac:dyDescent="0.3">
      <c r="A268" s="2"/>
      <c r="B268" s="3" t="s">
        <v>136</v>
      </c>
      <c r="C268" s="3"/>
      <c r="D268" s="3"/>
      <c r="E268" s="3"/>
      <c r="F268" s="6">
        <v>45838</v>
      </c>
      <c r="G268" s="7">
        <v>0</v>
      </c>
    </row>
    <row r="269" spans="1:9" x14ac:dyDescent="0.3">
      <c r="A269" s="2"/>
      <c r="B269" s="3" t="s">
        <v>137</v>
      </c>
      <c r="C269" s="3"/>
      <c r="D269" s="3"/>
      <c r="E269" s="3"/>
      <c r="F269" s="6">
        <v>45838</v>
      </c>
      <c r="G269" s="7">
        <v>0</v>
      </c>
    </row>
    <row r="270" spans="1:9" x14ac:dyDescent="0.3">
      <c r="A270" s="2"/>
      <c r="B270" s="3" t="s">
        <v>138</v>
      </c>
      <c r="C270" s="3"/>
      <c r="D270" s="3"/>
      <c r="E270" s="3"/>
      <c r="F270" s="6">
        <v>45838</v>
      </c>
      <c r="G270" s="7">
        <v>0</v>
      </c>
    </row>
    <row r="271" spans="1:9" x14ac:dyDescent="0.3">
      <c r="A271" s="2"/>
      <c r="B271" s="3" t="s">
        <v>553</v>
      </c>
      <c r="C271" s="3" t="s">
        <v>254</v>
      </c>
      <c r="D271" s="3" t="s">
        <v>262</v>
      </c>
      <c r="E271" s="3" t="s">
        <v>263</v>
      </c>
      <c r="F271" s="6">
        <v>45838</v>
      </c>
      <c r="G271" s="7">
        <v>580291.4</v>
      </c>
      <c r="H271" t="s">
        <v>232</v>
      </c>
      <c r="I271" t="s">
        <v>137</v>
      </c>
    </row>
    <row r="272" spans="1:9" x14ac:dyDescent="0.3">
      <c r="A272" s="2"/>
      <c r="B272" s="3" t="s">
        <v>554</v>
      </c>
      <c r="C272" s="3" t="s">
        <v>254</v>
      </c>
      <c r="D272" s="3" t="s">
        <v>262</v>
      </c>
      <c r="E272" s="3" t="s">
        <v>263</v>
      </c>
      <c r="F272" s="6">
        <v>45838</v>
      </c>
      <c r="G272" s="7">
        <v>10000</v>
      </c>
      <c r="H272" t="s">
        <v>232</v>
      </c>
      <c r="I272" t="s">
        <v>137</v>
      </c>
    </row>
    <row r="273" spans="1:9" x14ac:dyDescent="0.3">
      <c r="A273" s="2"/>
      <c r="B273" s="3" t="s">
        <v>139</v>
      </c>
      <c r="C273" s="3"/>
      <c r="D273" s="3"/>
      <c r="E273" s="3"/>
      <c r="F273" s="6">
        <v>45838</v>
      </c>
      <c r="G273" s="7">
        <v>590291.4</v>
      </c>
    </row>
    <row r="274" spans="1:9" x14ac:dyDescent="0.3">
      <c r="A274" s="2"/>
      <c r="B274" s="3" t="s">
        <v>140</v>
      </c>
      <c r="C274" s="3"/>
      <c r="D274" s="3"/>
      <c r="E274" s="3"/>
      <c r="F274" s="6">
        <v>45838</v>
      </c>
      <c r="G274" s="7">
        <v>0</v>
      </c>
    </row>
    <row r="275" spans="1:9" x14ac:dyDescent="0.3">
      <c r="A275" s="2"/>
      <c r="B275" s="3" t="s">
        <v>141</v>
      </c>
      <c r="C275" s="3" t="s">
        <v>140</v>
      </c>
      <c r="D275" s="3" t="s">
        <v>264</v>
      </c>
      <c r="E275" s="3" t="s">
        <v>263</v>
      </c>
      <c r="F275" s="6">
        <v>45838</v>
      </c>
      <c r="G275" s="7">
        <v>197765.81</v>
      </c>
      <c r="H275" t="s">
        <v>233</v>
      </c>
      <c r="I275" t="s">
        <v>137</v>
      </c>
    </row>
    <row r="276" spans="1:9" x14ac:dyDescent="0.3">
      <c r="A276" s="2"/>
      <c r="B276" s="3" t="s">
        <v>142</v>
      </c>
      <c r="C276" s="3"/>
      <c r="D276" s="3"/>
      <c r="E276" s="3"/>
      <c r="F276" s="6">
        <v>45838</v>
      </c>
      <c r="G276" s="7">
        <v>197765.81</v>
      </c>
    </row>
    <row r="277" spans="1:9" x14ac:dyDescent="0.3">
      <c r="A277" s="2"/>
      <c r="B277" s="3" t="s">
        <v>143</v>
      </c>
      <c r="C277" s="3" t="s">
        <v>255</v>
      </c>
      <c r="D277" s="3" t="s">
        <v>265</v>
      </c>
      <c r="E277" s="3" t="s">
        <v>263</v>
      </c>
      <c r="F277" s="6">
        <v>45838</v>
      </c>
      <c r="G277" s="7">
        <v>0</v>
      </c>
    </row>
    <row r="278" spans="1:9" x14ac:dyDescent="0.3">
      <c r="A278" s="2"/>
      <c r="B278" s="3" t="s">
        <v>146</v>
      </c>
      <c r="C278" s="3" t="s">
        <v>255</v>
      </c>
      <c r="D278" s="3" t="s">
        <v>266</v>
      </c>
      <c r="E278" s="3" t="s">
        <v>263</v>
      </c>
      <c r="F278" s="6">
        <v>45838</v>
      </c>
      <c r="G278" s="7">
        <v>0</v>
      </c>
      <c r="H278" t="s">
        <v>143</v>
      </c>
      <c r="I278" t="s">
        <v>137</v>
      </c>
    </row>
    <row r="279" spans="1:9" x14ac:dyDescent="0.3">
      <c r="A279" s="2"/>
      <c r="B279" s="3" t="s">
        <v>562</v>
      </c>
      <c r="C279" s="3" t="s">
        <v>255</v>
      </c>
      <c r="D279" s="3" t="s">
        <v>266</v>
      </c>
      <c r="E279" s="3" t="s">
        <v>263</v>
      </c>
      <c r="F279" s="6">
        <v>45838</v>
      </c>
      <c r="G279" s="7">
        <v>-360</v>
      </c>
      <c r="H279" t="s">
        <v>143</v>
      </c>
      <c r="I279" t="s">
        <v>137</v>
      </c>
    </row>
    <row r="280" spans="1:9" x14ac:dyDescent="0.3">
      <c r="A280" s="2"/>
      <c r="B280" s="3" t="s">
        <v>149</v>
      </c>
      <c r="C280" s="3"/>
      <c r="D280" s="3"/>
      <c r="E280" s="3"/>
      <c r="F280" s="6">
        <v>45838</v>
      </c>
      <c r="G280" s="7">
        <v>-360</v>
      </c>
    </row>
    <row r="281" spans="1:9" x14ac:dyDescent="0.3">
      <c r="A281" s="2"/>
      <c r="B281" s="3" t="s">
        <v>150</v>
      </c>
      <c r="C281" s="3" t="s">
        <v>255</v>
      </c>
      <c r="D281" s="3" t="s">
        <v>265</v>
      </c>
      <c r="E281" s="3" t="s">
        <v>263</v>
      </c>
      <c r="F281" s="6">
        <v>45838</v>
      </c>
      <c r="G281" s="7">
        <v>0</v>
      </c>
      <c r="H281" t="s">
        <v>143</v>
      </c>
      <c r="I281" t="s">
        <v>137</v>
      </c>
    </row>
    <row r="282" spans="1:9" x14ac:dyDescent="0.3">
      <c r="A282" s="2"/>
      <c r="B282" s="3" t="s">
        <v>151</v>
      </c>
      <c r="C282" s="3" t="s">
        <v>255</v>
      </c>
      <c r="D282" s="3" t="s">
        <v>267</v>
      </c>
      <c r="E282" s="3" t="s">
        <v>263</v>
      </c>
      <c r="F282" s="6">
        <v>45838</v>
      </c>
      <c r="G282" s="7">
        <v>0</v>
      </c>
      <c r="H282" t="s">
        <v>143</v>
      </c>
      <c r="I282" t="s">
        <v>137</v>
      </c>
    </row>
    <row r="283" spans="1:9" x14ac:dyDescent="0.3">
      <c r="A283" s="2"/>
      <c r="B283" s="3" t="s">
        <v>152</v>
      </c>
      <c r="C283" s="3"/>
      <c r="D283" s="3"/>
      <c r="E283" s="3"/>
      <c r="F283" s="6">
        <v>45838</v>
      </c>
      <c r="G283" s="7">
        <v>-360</v>
      </c>
    </row>
    <row r="284" spans="1:9" x14ac:dyDescent="0.3">
      <c r="A284" s="2"/>
      <c r="B284" s="3" t="s">
        <v>153</v>
      </c>
      <c r="C284" s="3"/>
      <c r="D284" s="3"/>
      <c r="E284" s="3"/>
      <c r="F284" s="6">
        <v>45838</v>
      </c>
      <c r="G284" s="7">
        <v>787697.21</v>
      </c>
    </row>
    <row r="285" spans="1:9" x14ac:dyDescent="0.3">
      <c r="A285" s="2"/>
      <c r="B285" s="3" t="s">
        <v>154</v>
      </c>
      <c r="C285" s="3"/>
      <c r="D285" s="3"/>
      <c r="E285" s="3"/>
      <c r="F285" s="6">
        <v>45838</v>
      </c>
      <c r="G285" s="7">
        <v>0</v>
      </c>
    </row>
    <row r="286" spans="1:9" x14ac:dyDescent="0.3">
      <c r="A286" s="2"/>
      <c r="B286" s="3" t="s">
        <v>155</v>
      </c>
      <c r="C286" s="3" t="s">
        <v>268</v>
      </c>
      <c r="D286" s="3" t="s">
        <v>269</v>
      </c>
      <c r="E286" s="3" t="s">
        <v>263</v>
      </c>
      <c r="F286" s="6">
        <v>45838</v>
      </c>
      <c r="G286" s="7">
        <v>0</v>
      </c>
      <c r="H286" t="s">
        <v>235</v>
      </c>
      <c r="I286" t="s">
        <v>234</v>
      </c>
    </row>
    <row r="287" spans="1:9" x14ac:dyDescent="0.3">
      <c r="A287" s="2"/>
      <c r="B287" s="3" t="s">
        <v>542</v>
      </c>
      <c r="C287" s="3" t="s">
        <v>268</v>
      </c>
      <c r="D287" s="3" t="s">
        <v>269</v>
      </c>
      <c r="E287" s="3" t="s">
        <v>263</v>
      </c>
      <c r="F287" s="6">
        <v>45838</v>
      </c>
      <c r="G287" s="7">
        <v>100000</v>
      </c>
      <c r="H287" t="s">
        <v>235</v>
      </c>
      <c r="I287" t="s">
        <v>234</v>
      </c>
    </row>
    <row r="288" spans="1:9" x14ac:dyDescent="0.3">
      <c r="A288" s="2"/>
      <c r="B288" s="3" t="s">
        <v>156</v>
      </c>
      <c r="C288" s="3"/>
      <c r="D288" s="3"/>
      <c r="E288" s="3"/>
      <c r="F288" s="6">
        <v>45838</v>
      </c>
      <c r="G288" s="7">
        <v>100000</v>
      </c>
    </row>
    <row r="289" spans="1:9" x14ac:dyDescent="0.3">
      <c r="A289" s="2"/>
      <c r="B289" s="3" t="s">
        <v>157</v>
      </c>
      <c r="C289" s="3"/>
      <c r="D289" s="3"/>
      <c r="E289" s="3"/>
      <c r="F289" s="6">
        <v>45838</v>
      </c>
      <c r="G289" s="7">
        <v>100000</v>
      </c>
    </row>
    <row r="290" spans="1:9" x14ac:dyDescent="0.3">
      <c r="A290" s="2"/>
      <c r="B290" s="3" t="s">
        <v>158</v>
      </c>
      <c r="C290" s="3"/>
      <c r="D290" s="3"/>
      <c r="E290" s="3"/>
      <c r="F290" s="6">
        <v>45838</v>
      </c>
      <c r="G290" s="7">
        <v>887697.21</v>
      </c>
    </row>
    <row r="291" spans="1:9" x14ac:dyDescent="0.3">
      <c r="A291" s="2"/>
      <c r="B291" s="3" t="s">
        <v>159</v>
      </c>
      <c r="C291" s="3"/>
      <c r="D291" s="3"/>
      <c r="E291" s="3"/>
      <c r="F291" s="6">
        <v>45838</v>
      </c>
      <c r="G291" s="7">
        <v>0</v>
      </c>
    </row>
    <row r="292" spans="1:9" x14ac:dyDescent="0.3">
      <c r="A292" s="2"/>
      <c r="B292" s="3" t="s">
        <v>160</v>
      </c>
      <c r="C292" s="3"/>
      <c r="D292" s="3"/>
      <c r="E292" s="3"/>
      <c r="F292" s="6">
        <v>45838</v>
      </c>
      <c r="G292" s="7">
        <v>0</v>
      </c>
    </row>
    <row r="293" spans="1:9" x14ac:dyDescent="0.3">
      <c r="A293" s="2"/>
      <c r="B293" s="3" t="s">
        <v>161</v>
      </c>
      <c r="C293" s="3"/>
      <c r="D293" s="3"/>
      <c r="E293" s="3"/>
      <c r="F293" s="6">
        <v>45838</v>
      </c>
      <c r="G293" s="7">
        <v>0</v>
      </c>
    </row>
    <row r="294" spans="1:9" x14ac:dyDescent="0.3">
      <c r="A294" s="2"/>
      <c r="B294" s="3" t="s">
        <v>162</v>
      </c>
      <c r="C294" s="3"/>
      <c r="D294" s="3"/>
      <c r="E294" s="3"/>
      <c r="F294" s="6">
        <v>45838</v>
      </c>
      <c r="G294" s="7">
        <v>0</v>
      </c>
    </row>
    <row r="295" spans="1:9" x14ac:dyDescent="0.3">
      <c r="A295" s="2"/>
      <c r="B295" s="3" t="s">
        <v>163</v>
      </c>
      <c r="C295" s="3" t="s">
        <v>162</v>
      </c>
      <c r="D295" s="3" t="s">
        <v>270</v>
      </c>
      <c r="E295" s="3" t="s">
        <v>271</v>
      </c>
      <c r="F295" s="6">
        <v>45838</v>
      </c>
      <c r="G295" s="7">
        <v>7768.92</v>
      </c>
      <c r="H295" t="s">
        <v>162</v>
      </c>
      <c r="I295" t="s">
        <v>161</v>
      </c>
    </row>
    <row r="296" spans="1:9" x14ac:dyDescent="0.3">
      <c r="A296" s="2"/>
      <c r="B296" s="3" t="s">
        <v>164</v>
      </c>
      <c r="C296" s="3"/>
      <c r="D296" s="3"/>
      <c r="E296" s="3"/>
      <c r="F296" s="6">
        <v>45838</v>
      </c>
      <c r="G296" s="7">
        <v>7768.92</v>
      </c>
    </row>
    <row r="297" spans="1:9" x14ac:dyDescent="0.3">
      <c r="A297" s="2"/>
      <c r="B297" s="3" t="s">
        <v>165</v>
      </c>
      <c r="C297" s="3" t="s">
        <v>256</v>
      </c>
      <c r="D297" s="3" t="s">
        <v>272</v>
      </c>
      <c r="E297" s="3" t="s">
        <v>271</v>
      </c>
      <c r="F297" s="6">
        <v>45838</v>
      </c>
      <c r="G297" s="7">
        <v>0</v>
      </c>
    </row>
    <row r="298" spans="1:9" x14ac:dyDescent="0.3">
      <c r="A298" s="2"/>
      <c r="B298" s="3" t="s">
        <v>545</v>
      </c>
      <c r="C298" s="3" t="s">
        <v>256</v>
      </c>
      <c r="D298" s="3" t="s">
        <v>272</v>
      </c>
      <c r="E298" s="3" t="s">
        <v>271</v>
      </c>
      <c r="F298" s="6">
        <v>45838</v>
      </c>
      <c r="G298" s="7">
        <v>17398.240000000002</v>
      </c>
      <c r="H298" t="s">
        <v>162</v>
      </c>
      <c r="I298" t="s">
        <v>161</v>
      </c>
    </row>
    <row r="299" spans="1:9" x14ac:dyDescent="0.3">
      <c r="A299" s="2"/>
      <c r="B299" s="3" t="s">
        <v>546</v>
      </c>
      <c r="C299" s="3" t="s">
        <v>256</v>
      </c>
      <c r="D299" s="3" t="s">
        <v>272</v>
      </c>
      <c r="E299" s="3" t="s">
        <v>271</v>
      </c>
      <c r="F299" s="6">
        <v>45838</v>
      </c>
      <c r="G299" s="7">
        <v>0</v>
      </c>
      <c r="H299" t="s">
        <v>162</v>
      </c>
      <c r="I299" t="s">
        <v>161</v>
      </c>
    </row>
    <row r="300" spans="1:9" x14ac:dyDescent="0.3">
      <c r="A300" s="2"/>
      <c r="B300" s="3" t="s">
        <v>547</v>
      </c>
      <c r="C300" s="3" t="s">
        <v>256</v>
      </c>
      <c r="D300" s="3" t="s">
        <v>272</v>
      </c>
      <c r="E300" s="3" t="s">
        <v>271</v>
      </c>
      <c r="F300" s="6">
        <v>45838</v>
      </c>
      <c r="G300" s="7">
        <v>866.47</v>
      </c>
      <c r="H300" t="s">
        <v>162</v>
      </c>
      <c r="I300" t="s">
        <v>161</v>
      </c>
    </row>
    <row r="301" spans="1:9" x14ac:dyDescent="0.3">
      <c r="A301" s="2"/>
      <c r="B301" s="3" t="s">
        <v>166</v>
      </c>
      <c r="C301" s="3"/>
      <c r="D301" s="3"/>
      <c r="E301" s="3"/>
      <c r="F301" s="6">
        <v>45838</v>
      </c>
      <c r="G301" s="7">
        <v>18264.71</v>
      </c>
    </row>
    <row r="302" spans="1:9" x14ac:dyDescent="0.3">
      <c r="A302" s="2"/>
      <c r="B302" s="3" t="s">
        <v>167</v>
      </c>
      <c r="C302" s="3"/>
      <c r="D302" s="3"/>
      <c r="E302" s="3"/>
      <c r="F302" s="6">
        <v>45838</v>
      </c>
      <c r="G302" s="7">
        <v>0</v>
      </c>
    </row>
    <row r="303" spans="1:9" x14ac:dyDescent="0.3">
      <c r="A303" s="2"/>
      <c r="B303" s="3" t="s">
        <v>173</v>
      </c>
      <c r="C303" s="3" t="s">
        <v>257</v>
      </c>
      <c r="D303" s="3" t="s">
        <v>273</v>
      </c>
      <c r="E303" s="3" t="s">
        <v>271</v>
      </c>
      <c r="F303" s="6">
        <v>45838</v>
      </c>
      <c r="G303" s="7">
        <v>275286.95</v>
      </c>
      <c r="H303" t="s">
        <v>237</v>
      </c>
      <c r="I303" t="s">
        <v>161</v>
      </c>
    </row>
    <row r="304" spans="1:9" x14ac:dyDescent="0.3">
      <c r="A304" s="2"/>
      <c r="B304" s="3" t="s">
        <v>174</v>
      </c>
      <c r="C304" s="3" t="s">
        <v>257</v>
      </c>
      <c r="D304" s="3" t="s">
        <v>273</v>
      </c>
      <c r="E304" s="3" t="s">
        <v>271</v>
      </c>
      <c r="F304" s="6">
        <v>45838</v>
      </c>
      <c r="G304" s="7">
        <v>5500</v>
      </c>
      <c r="H304" t="s">
        <v>167</v>
      </c>
      <c r="I304" t="s">
        <v>161</v>
      </c>
    </row>
    <row r="305" spans="1:9" x14ac:dyDescent="0.3">
      <c r="A305" s="2"/>
      <c r="B305" s="3" t="s">
        <v>175</v>
      </c>
      <c r="C305" s="3"/>
      <c r="D305" s="3"/>
      <c r="E305" s="3"/>
      <c r="F305" s="6">
        <v>45838</v>
      </c>
      <c r="G305" s="7">
        <v>280786.95</v>
      </c>
    </row>
    <row r="306" spans="1:9" x14ac:dyDescent="0.3">
      <c r="A306" s="2"/>
      <c r="B306" s="3" t="s">
        <v>176</v>
      </c>
      <c r="C306" s="3"/>
      <c r="D306" s="3"/>
      <c r="E306" s="3"/>
      <c r="F306" s="6">
        <v>45838</v>
      </c>
      <c r="G306" s="7">
        <v>306820.58</v>
      </c>
    </row>
    <row r="307" spans="1:9" x14ac:dyDescent="0.3">
      <c r="A307" s="2"/>
      <c r="B307" s="3" t="s">
        <v>177</v>
      </c>
      <c r="C307" s="3"/>
      <c r="D307" s="3"/>
      <c r="E307" s="3"/>
      <c r="F307" s="6">
        <v>45838</v>
      </c>
      <c r="G307" s="7">
        <v>0</v>
      </c>
    </row>
    <row r="308" spans="1:9" x14ac:dyDescent="0.3">
      <c r="A308" s="2"/>
      <c r="B308" s="3" t="s">
        <v>178</v>
      </c>
      <c r="C308" s="3" t="s">
        <v>274</v>
      </c>
      <c r="D308" s="3" t="s">
        <v>275</v>
      </c>
      <c r="E308" s="3" t="s">
        <v>271</v>
      </c>
      <c r="F308" s="6">
        <v>45838</v>
      </c>
      <c r="G308" s="7">
        <v>90000</v>
      </c>
      <c r="H308" t="s">
        <v>239</v>
      </c>
      <c r="I308" t="s">
        <v>177</v>
      </c>
    </row>
    <row r="309" spans="1:9" x14ac:dyDescent="0.3">
      <c r="A309" s="2"/>
      <c r="B309" s="3" t="s">
        <v>179</v>
      </c>
      <c r="C309" s="3"/>
      <c r="D309" s="3"/>
      <c r="E309" s="3"/>
      <c r="F309" s="6">
        <v>45838</v>
      </c>
      <c r="G309" s="7">
        <v>90000</v>
      </c>
    </row>
    <row r="310" spans="1:9" x14ac:dyDescent="0.3">
      <c r="A310" s="2"/>
      <c r="B310" s="3" t="s">
        <v>14</v>
      </c>
      <c r="C310" s="3"/>
      <c r="D310" s="3"/>
      <c r="E310" s="3"/>
      <c r="F310" s="6">
        <v>45838</v>
      </c>
      <c r="G310" s="7">
        <v>396820.58</v>
      </c>
    </row>
    <row r="311" spans="1:9" x14ac:dyDescent="0.3">
      <c r="A311" s="2"/>
      <c r="B311" s="3" t="s">
        <v>180</v>
      </c>
      <c r="C311" s="3"/>
      <c r="D311" s="3"/>
      <c r="E311" s="3"/>
      <c r="F311" s="6">
        <v>45838</v>
      </c>
      <c r="G311" s="7">
        <v>0</v>
      </c>
    </row>
    <row r="312" spans="1:9" x14ac:dyDescent="0.3">
      <c r="A312" s="2"/>
      <c r="B312" s="3" t="s">
        <v>181</v>
      </c>
      <c r="C312" s="3" t="s">
        <v>180</v>
      </c>
      <c r="D312" s="3" t="s">
        <v>276</v>
      </c>
      <c r="E312" s="3" t="s">
        <v>180</v>
      </c>
      <c r="F312" s="6">
        <v>45838</v>
      </c>
      <c r="G312" s="7">
        <v>0</v>
      </c>
      <c r="H312" t="s">
        <v>240</v>
      </c>
      <c r="I312" t="s">
        <v>180</v>
      </c>
    </row>
    <row r="313" spans="1:9" x14ac:dyDescent="0.3">
      <c r="A313" s="2"/>
      <c r="B313" s="3" t="s">
        <v>563</v>
      </c>
      <c r="C313" s="3" t="s">
        <v>180</v>
      </c>
      <c r="D313" s="3" t="s">
        <v>277</v>
      </c>
      <c r="E313" s="3" t="s">
        <v>180</v>
      </c>
      <c r="F313" s="6">
        <v>45838</v>
      </c>
      <c r="G313" s="7">
        <v>0</v>
      </c>
      <c r="H313" t="s">
        <v>240</v>
      </c>
      <c r="I313" t="s">
        <v>180</v>
      </c>
    </row>
    <row r="314" spans="1:9" x14ac:dyDescent="0.3">
      <c r="A314" s="2"/>
      <c r="B314" s="3" t="s">
        <v>564</v>
      </c>
      <c r="C314" s="3" t="s">
        <v>180</v>
      </c>
      <c r="D314" s="3" t="s">
        <v>278</v>
      </c>
      <c r="E314" s="3" t="s">
        <v>180</v>
      </c>
      <c r="F314" s="6">
        <v>45838</v>
      </c>
      <c r="G314" s="7">
        <v>-29.35</v>
      </c>
      <c r="H314" t="s">
        <v>240</v>
      </c>
      <c r="I314" t="s">
        <v>180</v>
      </c>
    </row>
    <row r="315" spans="1:9" x14ac:dyDescent="0.3">
      <c r="A315" s="2"/>
      <c r="B315" s="3" t="s">
        <v>565</v>
      </c>
      <c r="C315" s="3"/>
      <c r="D315" s="3"/>
      <c r="E315" s="3"/>
      <c r="F315" s="6">
        <v>45838</v>
      </c>
      <c r="G315" s="7">
        <v>-29.35</v>
      </c>
    </row>
    <row r="316" spans="1:9" x14ac:dyDescent="0.3">
      <c r="A316" s="2"/>
      <c r="B316" s="3" t="s">
        <v>185</v>
      </c>
      <c r="C316" s="3" t="s">
        <v>180</v>
      </c>
      <c r="D316" s="3" t="s">
        <v>279</v>
      </c>
      <c r="E316" s="3" t="s">
        <v>180</v>
      </c>
      <c r="F316" s="6">
        <v>45838</v>
      </c>
      <c r="G316" s="7">
        <v>406280.27</v>
      </c>
      <c r="H316" t="s">
        <v>240</v>
      </c>
      <c r="I316" t="s">
        <v>180</v>
      </c>
    </row>
    <row r="317" spans="1:9" x14ac:dyDescent="0.3">
      <c r="A317" s="2"/>
      <c r="B317" s="3" t="s">
        <v>186</v>
      </c>
      <c r="C317" s="3" t="s">
        <v>180</v>
      </c>
      <c r="D317" s="3" t="s">
        <v>278</v>
      </c>
      <c r="E317" s="3" t="s">
        <v>180</v>
      </c>
      <c r="F317" s="6">
        <v>45838</v>
      </c>
      <c r="G317" s="7">
        <v>0</v>
      </c>
    </row>
    <row r="318" spans="1:9" x14ac:dyDescent="0.3">
      <c r="A318" s="2"/>
      <c r="B318" s="3" t="s">
        <v>12</v>
      </c>
      <c r="C318" s="3" t="s">
        <v>180</v>
      </c>
      <c r="D318" s="3"/>
      <c r="E318" s="3" t="s">
        <v>180</v>
      </c>
      <c r="F318" s="6">
        <v>45838</v>
      </c>
      <c r="G318" s="7">
        <v>84625.71</v>
      </c>
    </row>
    <row r="319" spans="1:9" x14ac:dyDescent="0.3">
      <c r="A319" s="2"/>
      <c r="B319" s="3" t="s">
        <v>15</v>
      </c>
      <c r="C319" s="3"/>
      <c r="D319" s="3"/>
      <c r="E319" s="3"/>
      <c r="F319" s="6">
        <v>45838</v>
      </c>
      <c r="G319" s="7">
        <v>490876.63</v>
      </c>
    </row>
    <row r="320" spans="1:9" x14ac:dyDescent="0.3">
      <c r="A320" s="2"/>
      <c r="B320" s="3" t="s">
        <v>187</v>
      </c>
      <c r="C320" s="3"/>
      <c r="D320" s="3"/>
      <c r="E320" s="3"/>
      <c r="F320" s="6">
        <v>45838</v>
      </c>
      <c r="G320" s="7">
        <v>887697.21</v>
      </c>
    </row>
    <row r="321" spans="1:9" x14ac:dyDescent="0.3">
      <c r="A321" s="2"/>
      <c r="B321" s="3" t="s">
        <v>136</v>
      </c>
      <c r="C321" s="3"/>
      <c r="D321" s="3"/>
      <c r="E321" s="3"/>
      <c r="F321" s="6">
        <v>45869</v>
      </c>
      <c r="G321" s="7">
        <v>0</v>
      </c>
    </row>
    <row r="322" spans="1:9" x14ac:dyDescent="0.3">
      <c r="A322" s="2"/>
      <c r="B322" s="3" t="s">
        <v>137</v>
      </c>
      <c r="C322" s="3"/>
      <c r="D322" s="3"/>
      <c r="E322" s="3"/>
      <c r="F322" s="6">
        <v>45869</v>
      </c>
      <c r="G322" s="7">
        <v>0</v>
      </c>
    </row>
    <row r="323" spans="1:9" x14ac:dyDescent="0.3">
      <c r="A323" s="2"/>
      <c r="B323" s="3" t="s">
        <v>138</v>
      </c>
      <c r="C323" s="3"/>
      <c r="D323" s="3"/>
      <c r="E323" s="3"/>
      <c r="F323" s="6">
        <v>45869</v>
      </c>
      <c r="G323" s="7">
        <v>0</v>
      </c>
    </row>
    <row r="324" spans="1:9" x14ac:dyDescent="0.3">
      <c r="A324" s="2"/>
      <c r="B324" s="3" t="s">
        <v>553</v>
      </c>
      <c r="C324" s="3" t="s">
        <v>254</v>
      </c>
      <c r="D324" s="3" t="s">
        <v>262</v>
      </c>
      <c r="E324" s="3" t="s">
        <v>263</v>
      </c>
      <c r="F324" s="6">
        <v>45869</v>
      </c>
      <c r="G324" s="7">
        <v>447562.5</v>
      </c>
      <c r="H324" t="s">
        <v>232</v>
      </c>
      <c r="I324" t="s">
        <v>137</v>
      </c>
    </row>
    <row r="325" spans="1:9" x14ac:dyDescent="0.3">
      <c r="A325" s="2"/>
      <c r="B325" s="3" t="s">
        <v>554</v>
      </c>
      <c r="C325" s="3" t="s">
        <v>254</v>
      </c>
      <c r="D325" s="3" t="s">
        <v>262</v>
      </c>
      <c r="E325" s="3" t="s">
        <v>263</v>
      </c>
      <c r="F325" s="6">
        <v>45869</v>
      </c>
      <c r="G325" s="7">
        <v>10000</v>
      </c>
      <c r="H325" t="s">
        <v>232</v>
      </c>
      <c r="I325" t="s">
        <v>137</v>
      </c>
    </row>
    <row r="326" spans="1:9" x14ac:dyDescent="0.3">
      <c r="A326" s="2"/>
      <c r="B326" s="3" t="s">
        <v>139</v>
      </c>
      <c r="C326" s="3"/>
      <c r="D326" s="3"/>
      <c r="E326" s="3"/>
      <c r="F326" s="6">
        <v>45869</v>
      </c>
      <c r="G326" s="7">
        <v>457562.5</v>
      </c>
    </row>
    <row r="327" spans="1:9" x14ac:dyDescent="0.3">
      <c r="A327" s="2"/>
      <c r="B327" s="3" t="s">
        <v>140</v>
      </c>
      <c r="C327" s="3"/>
      <c r="D327" s="3"/>
      <c r="E327" s="3"/>
      <c r="F327" s="6">
        <v>45869</v>
      </c>
      <c r="G327" s="7">
        <v>0</v>
      </c>
    </row>
    <row r="328" spans="1:9" x14ac:dyDescent="0.3">
      <c r="A328" s="2"/>
      <c r="B328" s="3" t="s">
        <v>141</v>
      </c>
      <c r="C328" s="3" t="s">
        <v>140</v>
      </c>
      <c r="D328" s="3" t="s">
        <v>264</v>
      </c>
      <c r="E328" s="3" t="s">
        <v>263</v>
      </c>
      <c r="F328" s="6">
        <v>45869</v>
      </c>
      <c r="G328" s="7">
        <v>47574.23</v>
      </c>
      <c r="H328" t="s">
        <v>233</v>
      </c>
      <c r="I328" t="s">
        <v>137</v>
      </c>
    </row>
    <row r="329" spans="1:9" x14ac:dyDescent="0.3">
      <c r="A329" s="2"/>
      <c r="B329" s="3" t="s">
        <v>142</v>
      </c>
      <c r="C329" s="3"/>
      <c r="D329" s="3"/>
      <c r="E329" s="3"/>
      <c r="F329" s="6">
        <v>45869</v>
      </c>
      <c r="G329" s="7">
        <v>47574.23</v>
      </c>
    </row>
    <row r="330" spans="1:9" x14ac:dyDescent="0.3">
      <c r="A330" s="2"/>
      <c r="B330" s="3" t="s">
        <v>143</v>
      </c>
      <c r="C330" s="3" t="s">
        <v>255</v>
      </c>
      <c r="D330" s="3" t="s">
        <v>265</v>
      </c>
      <c r="E330" s="3" t="s">
        <v>263</v>
      </c>
      <c r="F330" s="6">
        <v>45869</v>
      </c>
      <c r="G330" s="7">
        <v>0</v>
      </c>
    </row>
    <row r="331" spans="1:9" x14ac:dyDescent="0.3">
      <c r="A331" s="2"/>
      <c r="B331" s="3" t="s">
        <v>146</v>
      </c>
      <c r="C331" s="3" t="s">
        <v>255</v>
      </c>
      <c r="D331" s="3" t="s">
        <v>266</v>
      </c>
      <c r="E331" s="3" t="s">
        <v>263</v>
      </c>
      <c r="F331" s="6">
        <v>45869</v>
      </c>
      <c r="G331" s="7">
        <v>0</v>
      </c>
      <c r="H331" t="s">
        <v>143</v>
      </c>
      <c r="I331" t="s">
        <v>137</v>
      </c>
    </row>
    <row r="332" spans="1:9" x14ac:dyDescent="0.3">
      <c r="A332" s="2"/>
      <c r="B332" s="3" t="s">
        <v>562</v>
      </c>
      <c r="C332" s="3" t="s">
        <v>255</v>
      </c>
      <c r="D332" s="3" t="s">
        <v>266</v>
      </c>
      <c r="E332" s="3" t="s">
        <v>263</v>
      </c>
      <c r="F332" s="6">
        <v>45869</v>
      </c>
      <c r="G332" s="7">
        <v>-660</v>
      </c>
      <c r="H332" t="s">
        <v>143</v>
      </c>
      <c r="I332" t="s">
        <v>137</v>
      </c>
    </row>
    <row r="333" spans="1:9" x14ac:dyDescent="0.3">
      <c r="A333" s="2"/>
      <c r="B333" s="3" t="s">
        <v>149</v>
      </c>
      <c r="C333" s="3"/>
      <c r="D333" s="3"/>
      <c r="E333" s="3"/>
      <c r="F333" s="6">
        <v>45869</v>
      </c>
      <c r="G333" s="7">
        <v>-660</v>
      </c>
    </row>
    <row r="334" spans="1:9" x14ac:dyDescent="0.3">
      <c r="A334" s="2"/>
      <c r="B334" s="3" t="s">
        <v>150</v>
      </c>
      <c r="C334" s="3" t="s">
        <v>255</v>
      </c>
      <c r="D334" s="3" t="s">
        <v>265</v>
      </c>
      <c r="E334" s="3" t="s">
        <v>263</v>
      </c>
      <c r="F334" s="6">
        <v>45869</v>
      </c>
      <c r="G334" s="7">
        <v>0</v>
      </c>
      <c r="H334" t="s">
        <v>143</v>
      </c>
      <c r="I334" t="s">
        <v>137</v>
      </c>
    </row>
    <row r="335" spans="1:9" x14ac:dyDescent="0.3">
      <c r="A335" s="2"/>
      <c r="B335" s="3" t="s">
        <v>151</v>
      </c>
      <c r="C335" s="3" t="s">
        <v>255</v>
      </c>
      <c r="D335" s="3" t="s">
        <v>267</v>
      </c>
      <c r="E335" s="3" t="s">
        <v>263</v>
      </c>
      <c r="F335" s="6">
        <v>45869</v>
      </c>
      <c r="G335" s="7">
        <v>0</v>
      </c>
      <c r="H335" t="s">
        <v>143</v>
      </c>
      <c r="I335" t="s">
        <v>137</v>
      </c>
    </row>
    <row r="336" spans="1:9" x14ac:dyDescent="0.3">
      <c r="A336" s="2"/>
      <c r="B336" s="3" t="s">
        <v>152</v>
      </c>
      <c r="C336" s="3"/>
      <c r="D336" s="3"/>
      <c r="E336" s="3"/>
      <c r="F336" s="6">
        <v>45869</v>
      </c>
      <c r="G336" s="7">
        <v>-660</v>
      </c>
    </row>
    <row r="337" spans="1:9" x14ac:dyDescent="0.3">
      <c r="A337" s="2"/>
      <c r="B337" s="3" t="s">
        <v>153</v>
      </c>
      <c r="C337" s="3"/>
      <c r="D337" s="3"/>
      <c r="E337" s="3"/>
      <c r="F337" s="6">
        <v>45869</v>
      </c>
      <c r="G337" s="7">
        <v>504476.73</v>
      </c>
    </row>
    <row r="338" spans="1:9" x14ac:dyDescent="0.3">
      <c r="A338" s="2"/>
      <c r="B338" s="3" t="s">
        <v>154</v>
      </c>
      <c r="C338" s="3"/>
      <c r="D338" s="3"/>
      <c r="E338" s="3"/>
      <c r="F338" s="6">
        <v>45869</v>
      </c>
      <c r="G338" s="7">
        <v>0</v>
      </c>
    </row>
    <row r="339" spans="1:9" x14ac:dyDescent="0.3">
      <c r="A339" s="2"/>
      <c r="B339" s="3" t="s">
        <v>155</v>
      </c>
      <c r="C339" s="3" t="s">
        <v>268</v>
      </c>
      <c r="D339" s="3" t="s">
        <v>269</v>
      </c>
      <c r="E339" s="3" t="s">
        <v>263</v>
      </c>
      <c r="F339" s="6">
        <v>45869</v>
      </c>
      <c r="G339" s="7">
        <v>0</v>
      </c>
      <c r="H339" t="s">
        <v>235</v>
      </c>
      <c r="I339" t="s">
        <v>234</v>
      </c>
    </row>
    <row r="340" spans="1:9" x14ac:dyDescent="0.3">
      <c r="A340" s="2"/>
      <c r="B340" s="3" t="s">
        <v>542</v>
      </c>
      <c r="C340" s="3" t="s">
        <v>268</v>
      </c>
      <c r="D340" s="3" t="s">
        <v>269</v>
      </c>
      <c r="E340" s="3" t="s">
        <v>263</v>
      </c>
      <c r="F340" s="6">
        <v>45869</v>
      </c>
      <c r="G340" s="7">
        <v>100000</v>
      </c>
      <c r="H340" t="s">
        <v>235</v>
      </c>
      <c r="I340" t="s">
        <v>234</v>
      </c>
    </row>
    <row r="341" spans="1:9" x14ac:dyDescent="0.3">
      <c r="A341" s="2"/>
      <c r="B341" s="3" t="s">
        <v>156</v>
      </c>
      <c r="C341" s="3"/>
      <c r="D341" s="3"/>
      <c r="E341" s="3"/>
      <c r="F341" s="6">
        <v>45869</v>
      </c>
      <c r="G341" s="7">
        <v>100000</v>
      </c>
    </row>
    <row r="342" spans="1:9" x14ac:dyDescent="0.3">
      <c r="A342" s="2"/>
      <c r="B342" s="3" t="s">
        <v>157</v>
      </c>
      <c r="C342" s="3"/>
      <c r="D342" s="3"/>
      <c r="E342" s="3"/>
      <c r="F342" s="6">
        <v>45869</v>
      </c>
      <c r="G342" s="7">
        <v>100000</v>
      </c>
    </row>
    <row r="343" spans="1:9" x14ac:dyDescent="0.3">
      <c r="A343" s="2"/>
      <c r="B343" s="3" t="s">
        <v>158</v>
      </c>
      <c r="C343" s="3"/>
      <c r="D343" s="3"/>
      <c r="E343" s="3"/>
      <c r="F343" s="6">
        <v>45869</v>
      </c>
      <c r="G343" s="7">
        <v>604476.73</v>
      </c>
    </row>
    <row r="344" spans="1:9" x14ac:dyDescent="0.3">
      <c r="A344" s="2"/>
      <c r="B344" s="3" t="s">
        <v>159</v>
      </c>
      <c r="C344" s="3"/>
      <c r="D344" s="3"/>
      <c r="E344" s="3"/>
      <c r="F344" s="6">
        <v>45869</v>
      </c>
      <c r="G344" s="7">
        <v>0</v>
      </c>
    </row>
    <row r="345" spans="1:9" x14ac:dyDescent="0.3">
      <c r="A345" s="2"/>
      <c r="B345" s="3" t="s">
        <v>160</v>
      </c>
      <c r="C345" s="3"/>
      <c r="D345" s="3"/>
      <c r="E345" s="3"/>
      <c r="F345" s="6">
        <v>45869</v>
      </c>
      <c r="G345" s="7">
        <v>0</v>
      </c>
    </row>
    <row r="346" spans="1:9" x14ac:dyDescent="0.3">
      <c r="A346" s="2"/>
      <c r="B346" s="3" t="s">
        <v>161</v>
      </c>
      <c r="C346" s="3"/>
      <c r="D346" s="3"/>
      <c r="E346" s="3"/>
      <c r="F346" s="6">
        <v>45869</v>
      </c>
      <c r="G346" s="7">
        <v>0</v>
      </c>
    </row>
    <row r="347" spans="1:9" x14ac:dyDescent="0.3">
      <c r="A347" s="2"/>
      <c r="B347" s="3" t="s">
        <v>162</v>
      </c>
      <c r="C347" s="3"/>
      <c r="D347" s="3"/>
      <c r="E347" s="3"/>
      <c r="F347" s="6">
        <v>45869</v>
      </c>
      <c r="G347" s="7">
        <v>0</v>
      </c>
    </row>
    <row r="348" spans="1:9" x14ac:dyDescent="0.3">
      <c r="A348" s="2"/>
      <c r="B348" s="3" t="s">
        <v>163</v>
      </c>
      <c r="C348" s="3" t="s">
        <v>162</v>
      </c>
      <c r="D348" s="3" t="s">
        <v>270</v>
      </c>
      <c r="E348" s="3" t="s">
        <v>271</v>
      </c>
      <c r="F348" s="6">
        <v>45869</v>
      </c>
      <c r="G348" s="7">
        <v>38440</v>
      </c>
      <c r="H348" t="s">
        <v>162</v>
      </c>
      <c r="I348" t="s">
        <v>161</v>
      </c>
    </row>
    <row r="349" spans="1:9" x14ac:dyDescent="0.3">
      <c r="A349" s="2"/>
      <c r="B349" s="3" t="s">
        <v>164</v>
      </c>
      <c r="C349" s="3"/>
      <c r="D349" s="3"/>
      <c r="E349" s="3"/>
      <c r="F349" s="6">
        <v>45869</v>
      </c>
      <c r="G349" s="7">
        <v>38440</v>
      </c>
    </row>
    <row r="350" spans="1:9" x14ac:dyDescent="0.3">
      <c r="A350" s="2"/>
      <c r="B350" s="3" t="s">
        <v>165</v>
      </c>
      <c r="C350" s="3" t="s">
        <v>256</v>
      </c>
      <c r="D350" s="3" t="s">
        <v>272</v>
      </c>
      <c r="E350" s="3" t="s">
        <v>271</v>
      </c>
      <c r="F350" s="6">
        <v>45869</v>
      </c>
      <c r="G350" s="7">
        <v>0</v>
      </c>
    </row>
    <row r="351" spans="1:9" x14ac:dyDescent="0.3">
      <c r="A351" s="2"/>
      <c r="B351" s="3" t="s">
        <v>545</v>
      </c>
      <c r="C351" s="3" t="s">
        <v>256</v>
      </c>
      <c r="D351" s="3" t="s">
        <v>272</v>
      </c>
      <c r="E351" s="3" t="s">
        <v>271</v>
      </c>
      <c r="F351" s="6">
        <v>45869</v>
      </c>
      <c r="G351" s="7">
        <v>6652.33</v>
      </c>
      <c r="H351" t="s">
        <v>162</v>
      </c>
      <c r="I351" t="s">
        <v>161</v>
      </c>
    </row>
    <row r="352" spans="1:9" x14ac:dyDescent="0.3">
      <c r="A352" s="2"/>
      <c r="B352" s="3" t="s">
        <v>546</v>
      </c>
      <c r="C352" s="3" t="s">
        <v>256</v>
      </c>
      <c r="D352" s="3" t="s">
        <v>272</v>
      </c>
      <c r="E352" s="3" t="s">
        <v>271</v>
      </c>
      <c r="F352" s="6">
        <v>45869</v>
      </c>
      <c r="G352" s="7">
        <v>150</v>
      </c>
      <c r="H352" t="s">
        <v>162</v>
      </c>
      <c r="I352" t="s">
        <v>161</v>
      </c>
    </row>
    <row r="353" spans="1:9" x14ac:dyDescent="0.3">
      <c r="A353" s="2"/>
      <c r="B353" s="3" t="s">
        <v>547</v>
      </c>
      <c r="C353" s="3" t="s">
        <v>256</v>
      </c>
      <c r="D353" s="3" t="s">
        <v>272</v>
      </c>
      <c r="E353" s="3" t="s">
        <v>271</v>
      </c>
      <c r="F353" s="6">
        <v>45869</v>
      </c>
      <c r="G353" s="7">
        <v>3315.03</v>
      </c>
      <c r="H353" t="s">
        <v>162</v>
      </c>
      <c r="I353" t="s">
        <v>161</v>
      </c>
    </row>
    <row r="354" spans="1:9" x14ac:dyDescent="0.3">
      <c r="A354" s="2"/>
      <c r="B354" s="3" t="s">
        <v>166</v>
      </c>
      <c r="C354" s="3"/>
      <c r="D354" s="3"/>
      <c r="E354" s="3"/>
      <c r="F354" s="6">
        <v>45869</v>
      </c>
      <c r="G354" s="7">
        <v>10117.36</v>
      </c>
    </row>
    <row r="355" spans="1:9" x14ac:dyDescent="0.3">
      <c r="A355" s="2"/>
      <c r="B355" s="3" t="s">
        <v>167</v>
      </c>
      <c r="C355" s="3"/>
      <c r="D355" s="3"/>
      <c r="E355" s="3"/>
      <c r="F355" s="6">
        <v>45869</v>
      </c>
      <c r="G355" s="7">
        <v>0</v>
      </c>
    </row>
    <row r="356" spans="1:9" x14ac:dyDescent="0.3">
      <c r="A356" s="2"/>
      <c r="B356" s="3" t="s">
        <v>173</v>
      </c>
      <c r="C356" s="3" t="s">
        <v>257</v>
      </c>
      <c r="D356" s="3" t="s">
        <v>273</v>
      </c>
      <c r="E356" s="3" t="s">
        <v>271</v>
      </c>
      <c r="F356" s="6">
        <v>45869</v>
      </c>
      <c r="G356" s="7">
        <v>237664.56</v>
      </c>
      <c r="H356" t="s">
        <v>237</v>
      </c>
      <c r="I356" t="s">
        <v>161</v>
      </c>
    </row>
    <row r="357" spans="1:9" x14ac:dyDescent="0.3">
      <c r="A357" s="2"/>
      <c r="B357" s="3" t="s">
        <v>174</v>
      </c>
      <c r="C357" s="3" t="s">
        <v>257</v>
      </c>
      <c r="D357" s="3" t="s">
        <v>273</v>
      </c>
      <c r="E357" s="3" t="s">
        <v>271</v>
      </c>
      <c r="F357" s="6">
        <v>45869</v>
      </c>
      <c r="G357" s="7">
        <v>6500</v>
      </c>
      <c r="H357" t="s">
        <v>167</v>
      </c>
      <c r="I357" t="s">
        <v>161</v>
      </c>
    </row>
    <row r="358" spans="1:9" x14ac:dyDescent="0.3">
      <c r="A358" s="2"/>
      <c r="B358" s="3" t="s">
        <v>175</v>
      </c>
      <c r="C358" s="3"/>
      <c r="D358" s="3"/>
      <c r="E358" s="3"/>
      <c r="F358" s="6">
        <v>45869</v>
      </c>
      <c r="G358" s="7">
        <v>244164.56</v>
      </c>
    </row>
    <row r="359" spans="1:9" x14ac:dyDescent="0.3">
      <c r="A359" s="2"/>
      <c r="B359" s="3" t="s">
        <v>176</v>
      </c>
      <c r="C359" s="3"/>
      <c r="D359" s="3"/>
      <c r="E359" s="3"/>
      <c r="F359" s="6">
        <v>45869</v>
      </c>
      <c r="G359" s="7">
        <v>292721.91999999998</v>
      </c>
    </row>
    <row r="360" spans="1:9" x14ac:dyDescent="0.3">
      <c r="A360" s="2"/>
      <c r="B360" s="3" t="s">
        <v>177</v>
      </c>
      <c r="C360" s="3"/>
      <c r="D360" s="3"/>
      <c r="E360" s="3"/>
      <c r="F360" s="6">
        <v>45869</v>
      </c>
      <c r="G360" s="7">
        <v>0</v>
      </c>
    </row>
    <row r="361" spans="1:9" x14ac:dyDescent="0.3">
      <c r="A361" s="2"/>
      <c r="B361" s="3" t="s">
        <v>178</v>
      </c>
      <c r="C361" s="3" t="s">
        <v>274</v>
      </c>
      <c r="D361" s="3" t="s">
        <v>275</v>
      </c>
      <c r="E361" s="3" t="s">
        <v>271</v>
      </c>
      <c r="F361" s="6">
        <v>45869</v>
      </c>
      <c r="G361" s="7">
        <v>90000</v>
      </c>
      <c r="H361" t="s">
        <v>239</v>
      </c>
      <c r="I361" t="s">
        <v>177</v>
      </c>
    </row>
    <row r="362" spans="1:9" x14ac:dyDescent="0.3">
      <c r="A362" s="2"/>
      <c r="B362" s="3" t="s">
        <v>179</v>
      </c>
      <c r="C362" s="3"/>
      <c r="D362" s="3"/>
      <c r="E362" s="3"/>
      <c r="F362" s="6">
        <v>45869</v>
      </c>
      <c r="G362" s="7">
        <v>90000</v>
      </c>
    </row>
    <row r="363" spans="1:9" x14ac:dyDescent="0.3">
      <c r="A363" s="2"/>
      <c r="B363" s="3" t="s">
        <v>14</v>
      </c>
      <c r="C363" s="3"/>
      <c r="D363" s="3"/>
      <c r="E363" s="3"/>
      <c r="F363" s="6">
        <v>45869</v>
      </c>
      <c r="G363" s="7">
        <v>382721.92</v>
      </c>
    </row>
    <row r="364" spans="1:9" x14ac:dyDescent="0.3">
      <c r="A364" s="2"/>
      <c r="B364" s="3" t="s">
        <v>180</v>
      </c>
      <c r="C364" s="3"/>
      <c r="D364" s="3"/>
      <c r="E364" s="3"/>
      <c r="F364" s="6">
        <v>45869</v>
      </c>
      <c r="G364" s="7">
        <v>0</v>
      </c>
    </row>
    <row r="365" spans="1:9" x14ac:dyDescent="0.3">
      <c r="A365" s="2"/>
      <c r="B365" s="3" t="s">
        <v>181</v>
      </c>
      <c r="C365" s="3" t="s">
        <v>180</v>
      </c>
      <c r="D365" s="3" t="s">
        <v>276</v>
      </c>
      <c r="E365" s="3" t="s">
        <v>180</v>
      </c>
      <c r="F365" s="6">
        <v>45869</v>
      </c>
      <c r="G365" s="7">
        <v>0</v>
      </c>
      <c r="H365" t="s">
        <v>240</v>
      </c>
      <c r="I365" t="s">
        <v>180</v>
      </c>
    </row>
    <row r="366" spans="1:9" x14ac:dyDescent="0.3">
      <c r="A366" s="2"/>
      <c r="B366" s="3" t="s">
        <v>563</v>
      </c>
      <c r="C366" s="3" t="s">
        <v>180</v>
      </c>
      <c r="D366" s="3" t="s">
        <v>277</v>
      </c>
      <c r="E366" s="3" t="s">
        <v>180</v>
      </c>
      <c r="F366" s="6">
        <v>45869</v>
      </c>
      <c r="G366" s="7">
        <v>0</v>
      </c>
      <c r="H366" t="s">
        <v>240</v>
      </c>
      <c r="I366" t="s">
        <v>180</v>
      </c>
    </row>
    <row r="367" spans="1:9" x14ac:dyDescent="0.3">
      <c r="A367" s="2"/>
      <c r="B367" s="3" t="s">
        <v>564</v>
      </c>
      <c r="C367" s="3" t="s">
        <v>180</v>
      </c>
      <c r="D367" s="3" t="s">
        <v>278</v>
      </c>
      <c r="E367" s="3" t="s">
        <v>180</v>
      </c>
      <c r="F367" s="6">
        <v>45869</v>
      </c>
      <c r="G367" s="7">
        <v>-75288.39</v>
      </c>
      <c r="H367" t="s">
        <v>240</v>
      </c>
      <c r="I367" t="s">
        <v>180</v>
      </c>
    </row>
    <row r="368" spans="1:9" x14ac:dyDescent="0.3">
      <c r="A368" s="2"/>
      <c r="B368" s="3" t="s">
        <v>565</v>
      </c>
      <c r="C368" s="3"/>
      <c r="D368" s="3"/>
      <c r="E368" s="3"/>
      <c r="F368" s="6">
        <v>45869</v>
      </c>
      <c r="G368" s="7">
        <v>-75288.39</v>
      </c>
    </row>
    <row r="369" spans="1:9" x14ac:dyDescent="0.3">
      <c r="A369" s="2"/>
      <c r="B369" s="3" t="s">
        <v>566</v>
      </c>
      <c r="C369" s="3" t="s">
        <v>180</v>
      </c>
      <c r="D369" s="3" t="s">
        <v>277</v>
      </c>
      <c r="E369" s="3" t="s">
        <v>180</v>
      </c>
      <c r="F369" s="6">
        <v>45869</v>
      </c>
      <c r="G369" s="7">
        <v>0</v>
      </c>
      <c r="H369" t="s">
        <v>240</v>
      </c>
      <c r="I369" t="s">
        <v>180</v>
      </c>
    </row>
    <row r="370" spans="1:9" x14ac:dyDescent="0.3">
      <c r="A370" s="2"/>
      <c r="B370" s="3" t="s">
        <v>183</v>
      </c>
      <c r="C370" s="3" t="s">
        <v>180</v>
      </c>
      <c r="D370" s="3" t="s">
        <v>280</v>
      </c>
      <c r="E370" s="3" t="s">
        <v>180</v>
      </c>
      <c r="F370" s="6">
        <v>45869</v>
      </c>
      <c r="G370" s="7">
        <v>-75000</v>
      </c>
      <c r="H370" t="s">
        <v>240</v>
      </c>
      <c r="I370" t="s">
        <v>180</v>
      </c>
    </row>
    <row r="371" spans="1:9" x14ac:dyDescent="0.3">
      <c r="A371" s="2"/>
      <c r="B371" s="3" t="s">
        <v>567</v>
      </c>
      <c r="C371" s="3"/>
      <c r="D371" s="3"/>
      <c r="E371" s="3"/>
      <c r="F371" s="6">
        <v>45869</v>
      </c>
      <c r="G371" s="7">
        <v>-75000</v>
      </c>
    </row>
    <row r="372" spans="1:9" x14ac:dyDescent="0.3">
      <c r="A372" s="2"/>
      <c r="B372" s="3" t="s">
        <v>185</v>
      </c>
      <c r="C372" s="3" t="s">
        <v>180</v>
      </c>
      <c r="D372" s="3" t="s">
        <v>279</v>
      </c>
      <c r="E372" s="3" t="s">
        <v>180</v>
      </c>
      <c r="F372" s="6">
        <v>45869</v>
      </c>
      <c r="G372" s="7">
        <v>406280.27</v>
      </c>
      <c r="H372" t="s">
        <v>240</v>
      </c>
      <c r="I372" t="s">
        <v>180</v>
      </c>
    </row>
    <row r="373" spans="1:9" x14ac:dyDescent="0.3">
      <c r="A373" s="2"/>
      <c r="B373" s="3" t="s">
        <v>186</v>
      </c>
      <c r="C373" s="3" t="s">
        <v>180</v>
      </c>
      <c r="D373" s="3" t="s">
        <v>278</v>
      </c>
      <c r="E373" s="3" t="s">
        <v>180</v>
      </c>
      <c r="F373" s="6">
        <v>45869</v>
      </c>
      <c r="G373" s="7">
        <v>0</v>
      </c>
    </row>
    <row r="374" spans="1:9" x14ac:dyDescent="0.3">
      <c r="A374" s="2"/>
      <c r="B374" s="3" t="s">
        <v>12</v>
      </c>
      <c r="C374" s="3" t="s">
        <v>180</v>
      </c>
      <c r="D374" s="3"/>
      <c r="E374" s="3" t="s">
        <v>180</v>
      </c>
      <c r="F374" s="6">
        <v>45869</v>
      </c>
      <c r="G374" s="7">
        <v>-34237.07</v>
      </c>
    </row>
    <row r="375" spans="1:9" x14ac:dyDescent="0.3">
      <c r="A375" s="2"/>
      <c r="B375" s="3" t="s">
        <v>15</v>
      </c>
      <c r="C375" s="3"/>
      <c r="D375" s="3"/>
      <c r="E375" s="3"/>
      <c r="F375" s="6">
        <v>45869</v>
      </c>
      <c r="G375" s="7">
        <v>221754.81</v>
      </c>
    </row>
    <row r="376" spans="1:9" x14ac:dyDescent="0.3">
      <c r="A376" s="2"/>
      <c r="B376" s="3" t="s">
        <v>187</v>
      </c>
      <c r="C376" s="3"/>
      <c r="D376" s="3"/>
      <c r="E376" s="3"/>
      <c r="F376" s="6">
        <v>45869</v>
      </c>
      <c r="G376" s="7">
        <v>604476.73</v>
      </c>
    </row>
    <row r="377" spans="1:9" x14ac:dyDescent="0.3">
      <c r="A377" s="2"/>
      <c r="B377" s="3" t="s">
        <v>136</v>
      </c>
      <c r="C377" s="3"/>
      <c r="D377" s="3"/>
      <c r="E377" s="3"/>
      <c r="F377" s="6">
        <v>45900</v>
      </c>
      <c r="G377" s="7">
        <v>0</v>
      </c>
    </row>
    <row r="378" spans="1:9" x14ac:dyDescent="0.3">
      <c r="A378" s="2"/>
      <c r="B378" s="3" t="s">
        <v>137</v>
      </c>
      <c r="C378" s="3"/>
      <c r="D378" s="3"/>
      <c r="E378" s="3"/>
      <c r="F378" s="6">
        <v>45900</v>
      </c>
      <c r="G378" s="7">
        <v>0</v>
      </c>
    </row>
    <row r="379" spans="1:9" x14ac:dyDescent="0.3">
      <c r="A379" s="2"/>
      <c r="B379" s="3" t="s">
        <v>138</v>
      </c>
      <c r="C379" s="3"/>
      <c r="D379" s="3"/>
      <c r="E379" s="3"/>
      <c r="F379" s="6">
        <v>45900</v>
      </c>
      <c r="G379" s="7">
        <v>0</v>
      </c>
    </row>
    <row r="380" spans="1:9" x14ac:dyDescent="0.3">
      <c r="A380" s="2"/>
      <c r="B380" s="3" t="s">
        <v>553</v>
      </c>
      <c r="C380" s="3" t="s">
        <v>254</v>
      </c>
      <c r="D380" s="3" t="s">
        <v>262</v>
      </c>
      <c r="E380" s="3" t="s">
        <v>263</v>
      </c>
      <c r="F380" s="6">
        <v>45900</v>
      </c>
      <c r="G380" s="7">
        <v>382154.95</v>
      </c>
      <c r="H380" t="s">
        <v>232</v>
      </c>
      <c r="I380" t="s">
        <v>137</v>
      </c>
    </row>
    <row r="381" spans="1:9" x14ac:dyDescent="0.3">
      <c r="A381" s="2"/>
      <c r="B381" s="3" t="s">
        <v>554</v>
      </c>
      <c r="C381" s="3" t="s">
        <v>254</v>
      </c>
      <c r="D381" s="3" t="s">
        <v>262</v>
      </c>
      <c r="E381" s="3" t="s">
        <v>263</v>
      </c>
      <c r="F381" s="6">
        <v>45900</v>
      </c>
      <c r="G381" s="7">
        <v>9985</v>
      </c>
      <c r="H381" t="s">
        <v>232</v>
      </c>
      <c r="I381" t="s">
        <v>137</v>
      </c>
    </row>
    <row r="382" spans="1:9" x14ac:dyDescent="0.3">
      <c r="A382" s="2"/>
      <c r="B382" s="3" t="s">
        <v>139</v>
      </c>
      <c r="C382" s="3"/>
      <c r="D382" s="3"/>
      <c r="E382" s="3"/>
      <c r="F382" s="6">
        <v>45900</v>
      </c>
      <c r="G382" s="7">
        <v>392139.95</v>
      </c>
    </row>
    <row r="383" spans="1:9" x14ac:dyDescent="0.3">
      <c r="A383" s="2"/>
      <c r="B383" s="3" t="s">
        <v>140</v>
      </c>
      <c r="C383" s="3"/>
      <c r="D383" s="3"/>
      <c r="E383" s="3"/>
      <c r="F383" s="6">
        <v>45900</v>
      </c>
      <c r="G383" s="7">
        <v>0</v>
      </c>
    </row>
    <row r="384" spans="1:9" x14ac:dyDescent="0.3">
      <c r="A384" s="2"/>
      <c r="B384" s="3" t="s">
        <v>141</v>
      </c>
      <c r="C384" s="3" t="s">
        <v>140</v>
      </c>
      <c r="D384" s="3" t="s">
        <v>264</v>
      </c>
      <c r="E384" s="3" t="s">
        <v>263</v>
      </c>
      <c r="F384" s="6">
        <v>45900</v>
      </c>
      <c r="G384" s="7">
        <v>41996.89</v>
      </c>
      <c r="H384" t="s">
        <v>233</v>
      </c>
      <c r="I384" t="s">
        <v>137</v>
      </c>
    </row>
    <row r="385" spans="1:9" x14ac:dyDescent="0.3">
      <c r="A385" s="2"/>
      <c r="B385" s="3" t="s">
        <v>142</v>
      </c>
      <c r="C385" s="3"/>
      <c r="D385" s="3"/>
      <c r="E385" s="3"/>
      <c r="F385" s="6">
        <v>45900</v>
      </c>
      <c r="G385" s="7">
        <v>41996.89</v>
      </c>
    </row>
    <row r="386" spans="1:9" x14ac:dyDescent="0.3">
      <c r="A386" s="2"/>
      <c r="B386" s="3" t="s">
        <v>143</v>
      </c>
      <c r="C386" s="3" t="s">
        <v>255</v>
      </c>
      <c r="D386" s="3" t="s">
        <v>265</v>
      </c>
      <c r="E386" s="3" t="s">
        <v>263</v>
      </c>
      <c r="F386" s="6">
        <v>45900</v>
      </c>
      <c r="G386" s="7">
        <v>0</v>
      </c>
    </row>
    <row r="387" spans="1:9" x14ac:dyDescent="0.3">
      <c r="A387" s="2"/>
      <c r="B387" s="3" t="s">
        <v>146</v>
      </c>
      <c r="C387" s="3" t="s">
        <v>255</v>
      </c>
      <c r="D387" s="3" t="s">
        <v>266</v>
      </c>
      <c r="E387" s="3" t="s">
        <v>263</v>
      </c>
      <c r="F387" s="6">
        <v>45900</v>
      </c>
      <c r="G387" s="7">
        <v>0</v>
      </c>
      <c r="H387" t="s">
        <v>143</v>
      </c>
      <c r="I387" t="s">
        <v>137</v>
      </c>
    </row>
    <row r="388" spans="1:9" x14ac:dyDescent="0.3">
      <c r="A388" s="2"/>
      <c r="B388" s="3" t="s">
        <v>562</v>
      </c>
      <c r="C388" s="3" t="s">
        <v>255</v>
      </c>
      <c r="D388" s="3" t="s">
        <v>266</v>
      </c>
      <c r="E388" s="3" t="s">
        <v>263</v>
      </c>
      <c r="F388" s="6">
        <v>45900</v>
      </c>
      <c r="G388" s="7">
        <v>3220</v>
      </c>
      <c r="H388" t="s">
        <v>143</v>
      </c>
      <c r="I388" t="s">
        <v>137</v>
      </c>
    </row>
    <row r="389" spans="1:9" x14ac:dyDescent="0.3">
      <c r="A389" s="2"/>
      <c r="B389" s="3" t="s">
        <v>149</v>
      </c>
      <c r="C389" s="3"/>
      <c r="D389" s="3"/>
      <c r="E389" s="3"/>
      <c r="F389" s="6">
        <v>45900</v>
      </c>
      <c r="G389" s="7">
        <v>3220</v>
      </c>
    </row>
    <row r="390" spans="1:9" x14ac:dyDescent="0.3">
      <c r="A390" s="2"/>
      <c r="B390" s="3" t="s">
        <v>150</v>
      </c>
      <c r="C390" s="3" t="s">
        <v>255</v>
      </c>
      <c r="D390" s="3" t="s">
        <v>265</v>
      </c>
      <c r="E390" s="3" t="s">
        <v>263</v>
      </c>
      <c r="F390" s="6">
        <v>45900</v>
      </c>
      <c r="G390" s="7">
        <v>0</v>
      </c>
      <c r="H390" t="s">
        <v>143</v>
      </c>
      <c r="I390" t="s">
        <v>137</v>
      </c>
    </row>
    <row r="391" spans="1:9" x14ac:dyDescent="0.3">
      <c r="A391" s="2"/>
      <c r="B391" s="3" t="s">
        <v>151</v>
      </c>
      <c r="C391" s="3" t="s">
        <v>255</v>
      </c>
      <c r="D391" s="3" t="s">
        <v>267</v>
      </c>
      <c r="E391" s="3" t="s">
        <v>263</v>
      </c>
      <c r="F391" s="6">
        <v>45900</v>
      </c>
      <c r="G391" s="7">
        <v>-2348.5</v>
      </c>
      <c r="H391" t="s">
        <v>143</v>
      </c>
      <c r="I391" t="s">
        <v>137</v>
      </c>
    </row>
    <row r="392" spans="1:9" x14ac:dyDescent="0.3">
      <c r="A392" s="2"/>
      <c r="B392" s="3" t="s">
        <v>152</v>
      </c>
      <c r="C392" s="3"/>
      <c r="D392" s="3"/>
      <c r="E392" s="3"/>
      <c r="F392" s="6">
        <v>45900</v>
      </c>
      <c r="G392" s="7">
        <v>871.5</v>
      </c>
    </row>
    <row r="393" spans="1:9" x14ac:dyDescent="0.3">
      <c r="A393" s="2"/>
      <c r="B393" s="3" t="s">
        <v>153</v>
      </c>
      <c r="C393" s="3"/>
      <c r="D393" s="3"/>
      <c r="E393" s="3"/>
      <c r="F393" s="6">
        <v>45900</v>
      </c>
      <c r="G393" s="7">
        <v>435008.34</v>
      </c>
    </row>
    <row r="394" spans="1:9" x14ac:dyDescent="0.3">
      <c r="A394" s="2"/>
      <c r="B394" s="3" t="s">
        <v>154</v>
      </c>
      <c r="C394" s="3"/>
      <c r="D394" s="3"/>
      <c r="E394" s="3"/>
      <c r="F394" s="6">
        <v>45900</v>
      </c>
      <c r="G394" s="7">
        <v>0</v>
      </c>
    </row>
    <row r="395" spans="1:9" x14ac:dyDescent="0.3">
      <c r="A395" s="2"/>
      <c r="B395" s="3" t="s">
        <v>155</v>
      </c>
      <c r="C395" s="3" t="s">
        <v>268</v>
      </c>
      <c r="D395" s="3" t="s">
        <v>269</v>
      </c>
      <c r="E395" s="3" t="s">
        <v>263</v>
      </c>
      <c r="F395" s="6">
        <v>45900</v>
      </c>
      <c r="G395" s="7">
        <v>0</v>
      </c>
      <c r="H395" t="s">
        <v>235</v>
      </c>
      <c r="I395" t="s">
        <v>234</v>
      </c>
    </row>
    <row r="396" spans="1:9" x14ac:dyDescent="0.3">
      <c r="A396" s="2"/>
      <c r="B396" s="3" t="s">
        <v>542</v>
      </c>
      <c r="C396" s="3" t="s">
        <v>268</v>
      </c>
      <c r="D396" s="3" t="s">
        <v>269</v>
      </c>
      <c r="E396" s="3" t="s">
        <v>263</v>
      </c>
      <c r="F396" s="6">
        <v>45900</v>
      </c>
      <c r="G396" s="7">
        <v>100000</v>
      </c>
      <c r="H396" t="s">
        <v>235</v>
      </c>
      <c r="I396" t="s">
        <v>234</v>
      </c>
    </row>
    <row r="397" spans="1:9" x14ac:dyDescent="0.3">
      <c r="A397" s="2"/>
      <c r="B397" s="3" t="s">
        <v>156</v>
      </c>
      <c r="C397" s="3"/>
      <c r="D397" s="3"/>
      <c r="E397" s="3"/>
      <c r="F397" s="6">
        <v>45900</v>
      </c>
      <c r="G397" s="7">
        <v>100000</v>
      </c>
    </row>
    <row r="398" spans="1:9" x14ac:dyDescent="0.3">
      <c r="A398" s="2"/>
      <c r="B398" s="3" t="s">
        <v>157</v>
      </c>
      <c r="C398" s="3"/>
      <c r="D398" s="3"/>
      <c r="E398" s="3"/>
      <c r="F398" s="6">
        <v>45900</v>
      </c>
      <c r="G398" s="7">
        <v>100000</v>
      </c>
    </row>
    <row r="399" spans="1:9" x14ac:dyDescent="0.3">
      <c r="A399" s="2"/>
      <c r="B399" s="3" t="s">
        <v>158</v>
      </c>
      <c r="C399" s="3"/>
      <c r="D399" s="3"/>
      <c r="E399" s="3"/>
      <c r="F399" s="6">
        <v>45900</v>
      </c>
      <c r="G399" s="7">
        <v>535008.34</v>
      </c>
    </row>
    <row r="400" spans="1:9" x14ac:dyDescent="0.3">
      <c r="A400" s="2"/>
      <c r="B400" s="3" t="s">
        <v>159</v>
      </c>
      <c r="C400" s="3"/>
      <c r="D400" s="3"/>
      <c r="E400" s="3"/>
      <c r="F400" s="6">
        <v>45900</v>
      </c>
      <c r="G400" s="7">
        <v>0</v>
      </c>
    </row>
    <row r="401" spans="1:9" x14ac:dyDescent="0.3">
      <c r="A401" s="2"/>
      <c r="B401" s="3" t="s">
        <v>160</v>
      </c>
      <c r="C401" s="3"/>
      <c r="D401" s="3"/>
      <c r="E401" s="3"/>
      <c r="F401" s="6">
        <v>45900</v>
      </c>
      <c r="G401" s="7">
        <v>0</v>
      </c>
    </row>
    <row r="402" spans="1:9" x14ac:dyDescent="0.3">
      <c r="A402" s="2"/>
      <c r="B402" s="3" t="s">
        <v>161</v>
      </c>
      <c r="C402" s="3"/>
      <c r="D402" s="3"/>
      <c r="E402" s="3"/>
      <c r="F402" s="6">
        <v>45900</v>
      </c>
      <c r="G402" s="7">
        <v>0</v>
      </c>
    </row>
    <row r="403" spans="1:9" x14ac:dyDescent="0.3">
      <c r="A403" s="2"/>
      <c r="B403" s="3" t="s">
        <v>162</v>
      </c>
      <c r="C403" s="3"/>
      <c r="D403" s="3"/>
      <c r="E403" s="3"/>
      <c r="F403" s="6">
        <v>45900</v>
      </c>
      <c r="G403" s="7">
        <v>0</v>
      </c>
    </row>
    <row r="404" spans="1:9" x14ac:dyDescent="0.3">
      <c r="A404" s="2"/>
      <c r="B404" s="3" t="s">
        <v>163</v>
      </c>
      <c r="C404" s="3" t="s">
        <v>162</v>
      </c>
      <c r="D404" s="3" t="s">
        <v>270</v>
      </c>
      <c r="E404" s="3" t="s">
        <v>271</v>
      </c>
      <c r="F404" s="6">
        <v>45900</v>
      </c>
      <c r="G404" s="7">
        <v>750</v>
      </c>
      <c r="H404" t="s">
        <v>162</v>
      </c>
      <c r="I404" t="s">
        <v>161</v>
      </c>
    </row>
    <row r="405" spans="1:9" x14ac:dyDescent="0.3">
      <c r="A405" s="2"/>
      <c r="B405" s="3" t="s">
        <v>164</v>
      </c>
      <c r="C405" s="3"/>
      <c r="D405" s="3"/>
      <c r="E405" s="3"/>
      <c r="F405" s="6">
        <v>45900</v>
      </c>
      <c r="G405" s="7">
        <v>750</v>
      </c>
    </row>
    <row r="406" spans="1:9" x14ac:dyDescent="0.3">
      <c r="A406" s="2"/>
      <c r="B406" s="3" t="s">
        <v>165</v>
      </c>
      <c r="C406" s="3" t="s">
        <v>256</v>
      </c>
      <c r="D406" s="3" t="s">
        <v>272</v>
      </c>
      <c r="E406" s="3" t="s">
        <v>271</v>
      </c>
      <c r="F406" s="6">
        <v>45900</v>
      </c>
      <c r="G406" s="7">
        <v>0</v>
      </c>
    </row>
    <row r="407" spans="1:9" x14ac:dyDescent="0.3">
      <c r="A407" s="2"/>
      <c r="B407" s="3" t="s">
        <v>545</v>
      </c>
      <c r="C407" s="3" t="s">
        <v>256</v>
      </c>
      <c r="D407" s="3" t="s">
        <v>272</v>
      </c>
      <c r="E407" s="3" t="s">
        <v>271</v>
      </c>
      <c r="F407" s="6">
        <v>45900</v>
      </c>
      <c r="G407" s="7">
        <v>8161.01</v>
      </c>
      <c r="H407" t="s">
        <v>162</v>
      </c>
      <c r="I407" t="s">
        <v>161</v>
      </c>
    </row>
    <row r="408" spans="1:9" x14ac:dyDescent="0.3">
      <c r="A408" s="2"/>
      <c r="B408" s="3" t="s">
        <v>546</v>
      </c>
      <c r="C408" s="3" t="s">
        <v>256</v>
      </c>
      <c r="D408" s="3" t="s">
        <v>272</v>
      </c>
      <c r="E408" s="3" t="s">
        <v>271</v>
      </c>
      <c r="F408" s="6">
        <v>45900</v>
      </c>
      <c r="G408" s="7">
        <v>0</v>
      </c>
      <c r="H408" t="s">
        <v>162</v>
      </c>
      <c r="I408" t="s">
        <v>161</v>
      </c>
    </row>
    <row r="409" spans="1:9" x14ac:dyDescent="0.3">
      <c r="A409" s="2"/>
      <c r="B409" s="3" t="s">
        <v>547</v>
      </c>
      <c r="C409" s="3" t="s">
        <v>256</v>
      </c>
      <c r="D409" s="3" t="s">
        <v>272</v>
      </c>
      <c r="E409" s="3" t="s">
        <v>271</v>
      </c>
      <c r="F409" s="6">
        <v>45900</v>
      </c>
      <c r="G409" s="7">
        <v>3201.52</v>
      </c>
      <c r="H409" t="s">
        <v>162</v>
      </c>
      <c r="I409" t="s">
        <v>161</v>
      </c>
    </row>
    <row r="410" spans="1:9" x14ac:dyDescent="0.3">
      <c r="A410" s="2"/>
      <c r="B410" s="3" t="s">
        <v>166</v>
      </c>
      <c r="C410" s="3"/>
      <c r="D410" s="3"/>
      <c r="E410" s="3"/>
      <c r="F410" s="6">
        <v>45900</v>
      </c>
      <c r="G410" s="7">
        <v>11362.53</v>
      </c>
    </row>
    <row r="411" spans="1:9" x14ac:dyDescent="0.3">
      <c r="A411" s="2"/>
      <c r="B411" s="3" t="s">
        <v>167</v>
      </c>
      <c r="C411" s="3"/>
      <c r="D411" s="3"/>
      <c r="E411" s="3"/>
      <c r="F411" s="6">
        <v>45900</v>
      </c>
      <c r="G411" s="7">
        <v>0</v>
      </c>
    </row>
    <row r="412" spans="1:9" x14ac:dyDescent="0.3">
      <c r="A412" s="2"/>
      <c r="B412" s="3" t="s">
        <v>173</v>
      </c>
      <c r="C412" s="3" t="s">
        <v>257</v>
      </c>
      <c r="D412" s="3" t="s">
        <v>273</v>
      </c>
      <c r="E412" s="3" t="s">
        <v>271</v>
      </c>
      <c r="F412" s="6">
        <v>45900</v>
      </c>
      <c r="G412" s="7">
        <v>192408.77</v>
      </c>
      <c r="H412" t="s">
        <v>237</v>
      </c>
      <c r="I412" t="s">
        <v>161</v>
      </c>
    </row>
    <row r="413" spans="1:9" x14ac:dyDescent="0.3">
      <c r="A413" s="2"/>
      <c r="B413" s="3" t="s">
        <v>174</v>
      </c>
      <c r="C413" s="3" t="s">
        <v>257</v>
      </c>
      <c r="D413" s="3" t="s">
        <v>273</v>
      </c>
      <c r="E413" s="3" t="s">
        <v>271</v>
      </c>
      <c r="F413" s="6">
        <v>45900</v>
      </c>
      <c r="G413" s="7">
        <v>7750</v>
      </c>
      <c r="H413" t="s">
        <v>167</v>
      </c>
      <c r="I413" t="s">
        <v>161</v>
      </c>
    </row>
    <row r="414" spans="1:9" x14ac:dyDescent="0.3">
      <c r="A414" s="2"/>
      <c r="B414" s="3" t="s">
        <v>175</v>
      </c>
      <c r="C414" s="3"/>
      <c r="D414" s="3"/>
      <c r="E414" s="3"/>
      <c r="F414" s="6">
        <v>45900</v>
      </c>
      <c r="G414" s="7">
        <v>200158.77</v>
      </c>
    </row>
    <row r="415" spans="1:9" x14ac:dyDescent="0.3">
      <c r="A415" s="2"/>
      <c r="B415" s="3" t="s">
        <v>176</v>
      </c>
      <c r="C415" s="3"/>
      <c r="D415" s="3"/>
      <c r="E415" s="3"/>
      <c r="F415" s="6">
        <v>45900</v>
      </c>
      <c r="G415" s="7">
        <v>212271.3</v>
      </c>
    </row>
    <row r="416" spans="1:9" x14ac:dyDescent="0.3">
      <c r="A416" s="2"/>
      <c r="B416" s="3" t="s">
        <v>177</v>
      </c>
      <c r="C416" s="3"/>
      <c r="D416" s="3"/>
      <c r="E416" s="3"/>
      <c r="F416" s="6">
        <v>45900</v>
      </c>
      <c r="G416" s="7">
        <v>0</v>
      </c>
    </row>
    <row r="417" spans="1:9" x14ac:dyDescent="0.3">
      <c r="A417" s="2"/>
      <c r="B417" s="3" t="s">
        <v>178</v>
      </c>
      <c r="C417" s="3" t="s">
        <v>274</v>
      </c>
      <c r="D417" s="3" t="s">
        <v>275</v>
      </c>
      <c r="E417" s="3" t="s">
        <v>271</v>
      </c>
      <c r="F417" s="6">
        <v>45900</v>
      </c>
      <c r="G417" s="7">
        <v>90000</v>
      </c>
      <c r="H417" t="s">
        <v>239</v>
      </c>
      <c r="I417" t="s">
        <v>177</v>
      </c>
    </row>
    <row r="418" spans="1:9" x14ac:dyDescent="0.3">
      <c r="A418" s="2"/>
      <c r="B418" s="3" t="s">
        <v>179</v>
      </c>
      <c r="C418" s="3"/>
      <c r="D418" s="3"/>
      <c r="E418" s="3"/>
      <c r="F418" s="6">
        <v>45900</v>
      </c>
      <c r="G418" s="7">
        <v>90000</v>
      </c>
    </row>
    <row r="419" spans="1:9" x14ac:dyDescent="0.3">
      <c r="A419" s="2"/>
      <c r="B419" s="3" t="s">
        <v>14</v>
      </c>
      <c r="C419" s="3"/>
      <c r="D419" s="3"/>
      <c r="E419" s="3"/>
      <c r="F419" s="6">
        <v>45900</v>
      </c>
      <c r="G419" s="7">
        <v>302271.3</v>
      </c>
    </row>
    <row r="420" spans="1:9" x14ac:dyDescent="0.3">
      <c r="A420" s="2"/>
      <c r="B420" s="3" t="s">
        <v>180</v>
      </c>
      <c r="C420" s="3"/>
      <c r="D420" s="3"/>
      <c r="E420" s="3"/>
      <c r="F420" s="6">
        <v>45900</v>
      </c>
      <c r="G420" s="7">
        <v>0</v>
      </c>
    </row>
    <row r="421" spans="1:9" x14ac:dyDescent="0.3">
      <c r="A421" s="2"/>
      <c r="B421" s="3" t="s">
        <v>181</v>
      </c>
      <c r="C421" s="3" t="s">
        <v>180</v>
      </c>
      <c r="D421" s="3" t="s">
        <v>276</v>
      </c>
      <c r="E421" s="3" t="s">
        <v>180</v>
      </c>
      <c r="F421" s="6">
        <v>45900</v>
      </c>
      <c r="G421" s="7">
        <v>0</v>
      </c>
      <c r="H421" t="s">
        <v>240</v>
      </c>
      <c r="I421" t="s">
        <v>180</v>
      </c>
    </row>
    <row r="422" spans="1:9" x14ac:dyDescent="0.3">
      <c r="A422" s="2"/>
      <c r="B422" s="3" t="s">
        <v>563</v>
      </c>
      <c r="C422" s="3" t="s">
        <v>180</v>
      </c>
      <c r="D422" s="3" t="s">
        <v>277</v>
      </c>
      <c r="E422" s="3" t="s">
        <v>180</v>
      </c>
      <c r="F422" s="6">
        <v>45900</v>
      </c>
      <c r="G422" s="7">
        <v>0</v>
      </c>
      <c r="H422" t="s">
        <v>240</v>
      </c>
      <c r="I422" t="s">
        <v>180</v>
      </c>
    </row>
    <row r="423" spans="1:9" x14ac:dyDescent="0.3">
      <c r="A423" s="2"/>
      <c r="B423" s="3" t="s">
        <v>564</v>
      </c>
      <c r="C423" s="3" t="s">
        <v>180</v>
      </c>
      <c r="D423" s="3" t="s">
        <v>278</v>
      </c>
      <c r="E423" s="3" t="s">
        <v>180</v>
      </c>
      <c r="F423" s="6">
        <v>45900</v>
      </c>
      <c r="G423" s="7">
        <v>-75603.22</v>
      </c>
      <c r="H423" t="s">
        <v>240</v>
      </c>
      <c r="I423" t="s">
        <v>180</v>
      </c>
    </row>
    <row r="424" spans="1:9" x14ac:dyDescent="0.3">
      <c r="A424" s="2"/>
      <c r="B424" s="3" t="s">
        <v>565</v>
      </c>
      <c r="C424" s="3"/>
      <c r="D424" s="3"/>
      <c r="E424" s="3"/>
      <c r="F424" s="6">
        <v>45900</v>
      </c>
      <c r="G424" s="7">
        <v>-75603.22</v>
      </c>
    </row>
    <row r="425" spans="1:9" x14ac:dyDescent="0.3">
      <c r="A425" s="2"/>
      <c r="B425" s="3" t="s">
        <v>566</v>
      </c>
      <c r="C425" s="3" t="s">
        <v>180</v>
      </c>
      <c r="D425" s="3" t="s">
        <v>277</v>
      </c>
      <c r="E425" s="3" t="s">
        <v>180</v>
      </c>
      <c r="F425" s="6">
        <v>45900</v>
      </c>
      <c r="G425" s="7">
        <v>0</v>
      </c>
      <c r="H425" t="s">
        <v>240</v>
      </c>
      <c r="I425" t="s">
        <v>180</v>
      </c>
    </row>
    <row r="426" spans="1:9" x14ac:dyDescent="0.3">
      <c r="A426" s="2"/>
      <c r="B426" s="3" t="s">
        <v>183</v>
      </c>
      <c r="C426" s="3" t="s">
        <v>180</v>
      </c>
      <c r="D426" s="3" t="s">
        <v>280</v>
      </c>
      <c r="E426" s="3" t="s">
        <v>180</v>
      </c>
      <c r="F426" s="6">
        <v>45900</v>
      </c>
      <c r="G426" s="7">
        <v>-75000</v>
      </c>
      <c r="H426" t="s">
        <v>240</v>
      </c>
      <c r="I426" t="s">
        <v>180</v>
      </c>
    </row>
    <row r="427" spans="1:9" x14ac:dyDescent="0.3">
      <c r="A427" s="2"/>
      <c r="B427" s="3" t="s">
        <v>567</v>
      </c>
      <c r="C427" s="3"/>
      <c r="D427" s="3"/>
      <c r="E427" s="3"/>
      <c r="F427" s="6">
        <v>45900</v>
      </c>
      <c r="G427" s="7">
        <v>-75000</v>
      </c>
    </row>
    <row r="428" spans="1:9" x14ac:dyDescent="0.3">
      <c r="A428" s="2"/>
      <c r="B428" s="3" t="s">
        <v>185</v>
      </c>
      <c r="C428" s="3" t="s">
        <v>180</v>
      </c>
      <c r="D428" s="3" t="s">
        <v>279</v>
      </c>
      <c r="E428" s="3" t="s">
        <v>180</v>
      </c>
      <c r="F428" s="6">
        <v>45900</v>
      </c>
      <c r="G428" s="7">
        <v>406280.27</v>
      </c>
      <c r="H428" t="s">
        <v>240</v>
      </c>
      <c r="I428" t="s">
        <v>180</v>
      </c>
    </row>
    <row r="429" spans="1:9" x14ac:dyDescent="0.3">
      <c r="A429" s="2"/>
      <c r="B429" s="3" t="s">
        <v>186</v>
      </c>
      <c r="C429" s="3" t="s">
        <v>180</v>
      </c>
      <c r="D429" s="3" t="s">
        <v>278</v>
      </c>
      <c r="E429" s="3" t="s">
        <v>180</v>
      </c>
      <c r="F429" s="6">
        <v>45900</v>
      </c>
      <c r="G429" s="7">
        <v>0</v>
      </c>
    </row>
    <row r="430" spans="1:9" x14ac:dyDescent="0.3">
      <c r="A430" s="2"/>
      <c r="B430" s="3" t="s">
        <v>12</v>
      </c>
      <c r="C430" s="3" t="s">
        <v>180</v>
      </c>
      <c r="D430" s="3"/>
      <c r="E430" s="3" t="s">
        <v>180</v>
      </c>
      <c r="F430" s="6">
        <v>45900</v>
      </c>
      <c r="G430" s="7">
        <v>-22940.01</v>
      </c>
    </row>
    <row r="431" spans="1:9" x14ac:dyDescent="0.3">
      <c r="A431" s="2"/>
      <c r="B431" s="3" t="s">
        <v>15</v>
      </c>
      <c r="C431" s="3"/>
      <c r="D431" s="3"/>
      <c r="E431" s="3"/>
      <c r="F431" s="6">
        <v>45900</v>
      </c>
      <c r="G431" s="7">
        <v>232737.04</v>
      </c>
    </row>
    <row r="432" spans="1:9" x14ac:dyDescent="0.3">
      <c r="A432" s="2"/>
      <c r="B432" s="3" t="s">
        <v>187</v>
      </c>
      <c r="C432" s="3"/>
      <c r="D432" s="3"/>
      <c r="E432" s="3"/>
      <c r="F432" s="6">
        <v>45900</v>
      </c>
      <c r="G432" s="7">
        <v>535008.34</v>
      </c>
    </row>
    <row r="433" spans="1:9" x14ac:dyDescent="0.3">
      <c r="A433" s="2"/>
      <c r="B433" s="3" t="s">
        <v>136</v>
      </c>
      <c r="C433" s="3"/>
      <c r="D433" s="3"/>
      <c r="E433" s="3"/>
      <c r="F433" s="6">
        <v>45930</v>
      </c>
      <c r="G433" s="7">
        <v>0</v>
      </c>
    </row>
    <row r="434" spans="1:9" x14ac:dyDescent="0.3">
      <c r="A434" s="2"/>
      <c r="B434" s="3" t="s">
        <v>137</v>
      </c>
      <c r="C434" s="3"/>
      <c r="D434" s="3"/>
      <c r="E434" s="3"/>
      <c r="F434" s="6">
        <v>45930</v>
      </c>
      <c r="G434" s="7">
        <v>0</v>
      </c>
    </row>
    <row r="435" spans="1:9" x14ac:dyDescent="0.3">
      <c r="A435" s="2"/>
      <c r="B435" s="3" t="s">
        <v>138</v>
      </c>
      <c r="C435" s="3"/>
      <c r="D435" s="3"/>
      <c r="E435" s="3"/>
      <c r="F435" s="6">
        <v>45930</v>
      </c>
      <c r="G435" s="7">
        <v>0</v>
      </c>
    </row>
    <row r="436" spans="1:9" x14ac:dyDescent="0.3">
      <c r="A436" s="2"/>
      <c r="B436" s="3" t="s">
        <v>553</v>
      </c>
      <c r="C436" s="3" t="s">
        <v>254</v>
      </c>
      <c r="D436" s="3" t="s">
        <v>262</v>
      </c>
      <c r="E436" s="3" t="s">
        <v>263</v>
      </c>
      <c r="F436" s="6">
        <v>45930</v>
      </c>
      <c r="G436" s="7">
        <v>296921.28999999998</v>
      </c>
      <c r="H436" t="s">
        <v>232</v>
      </c>
      <c r="I436" t="s">
        <v>137</v>
      </c>
    </row>
    <row r="437" spans="1:9" x14ac:dyDescent="0.3">
      <c r="A437" s="2"/>
      <c r="B437" s="3" t="s">
        <v>554</v>
      </c>
      <c r="C437" s="3" t="s">
        <v>254</v>
      </c>
      <c r="D437" s="3" t="s">
        <v>262</v>
      </c>
      <c r="E437" s="3" t="s">
        <v>263</v>
      </c>
      <c r="F437" s="6">
        <v>45930</v>
      </c>
      <c r="G437" s="7">
        <v>15000</v>
      </c>
      <c r="H437" t="s">
        <v>232</v>
      </c>
      <c r="I437" t="s">
        <v>137</v>
      </c>
    </row>
    <row r="438" spans="1:9" x14ac:dyDescent="0.3">
      <c r="A438" s="2"/>
      <c r="B438" s="3" t="s">
        <v>139</v>
      </c>
      <c r="C438" s="3"/>
      <c r="D438" s="3"/>
      <c r="E438" s="3"/>
      <c r="F438" s="6">
        <v>45930</v>
      </c>
      <c r="G438" s="7">
        <v>311921.28999999998</v>
      </c>
    </row>
    <row r="439" spans="1:9" x14ac:dyDescent="0.3">
      <c r="A439" s="2"/>
      <c r="B439" s="3" t="s">
        <v>140</v>
      </c>
      <c r="C439" s="3"/>
      <c r="D439" s="3"/>
      <c r="E439" s="3"/>
      <c r="F439" s="6">
        <v>45930</v>
      </c>
      <c r="G439" s="7">
        <v>0</v>
      </c>
    </row>
    <row r="440" spans="1:9" x14ac:dyDescent="0.3">
      <c r="A440" s="2"/>
      <c r="B440" s="3" t="s">
        <v>141</v>
      </c>
      <c r="C440" s="3" t="s">
        <v>140</v>
      </c>
      <c r="D440" s="3" t="s">
        <v>264</v>
      </c>
      <c r="E440" s="3" t="s">
        <v>263</v>
      </c>
      <c r="F440" s="6">
        <v>45930</v>
      </c>
      <c r="G440" s="7">
        <v>190800.43</v>
      </c>
      <c r="H440" t="s">
        <v>233</v>
      </c>
      <c r="I440" t="s">
        <v>137</v>
      </c>
    </row>
    <row r="441" spans="1:9" x14ac:dyDescent="0.3">
      <c r="A441" s="2"/>
      <c r="B441" s="3" t="s">
        <v>142</v>
      </c>
      <c r="C441" s="3"/>
      <c r="D441" s="3"/>
      <c r="E441" s="3"/>
      <c r="F441" s="6">
        <v>45930</v>
      </c>
      <c r="G441" s="7">
        <v>190800.43</v>
      </c>
    </row>
    <row r="442" spans="1:9" x14ac:dyDescent="0.3">
      <c r="A442" s="2"/>
      <c r="B442" s="3" t="s">
        <v>143</v>
      </c>
      <c r="C442" s="3" t="s">
        <v>255</v>
      </c>
      <c r="D442" s="3" t="s">
        <v>265</v>
      </c>
      <c r="E442" s="3" t="s">
        <v>263</v>
      </c>
      <c r="F442" s="6">
        <v>45930</v>
      </c>
      <c r="G442" s="7">
        <v>0</v>
      </c>
    </row>
    <row r="443" spans="1:9" x14ac:dyDescent="0.3">
      <c r="A443" s="2"/>
      <c r="B443" s="3" t="s">
        <v>146</v>
      </c>
      <c r="C443" s="3" t="s">
        <v>255</v>
      </c>
      <c r="D443" s="3" t="s">
        <v>266</v>
      </c>
      <c r="E443" s="3" t="s">
        <v>263</v>
      </c>
      <c r="F443" s="6">
        <v>45930</v>
      </c>
      <c r="G443" s="7">
        <v>0</v>
      </c>
      <c r="H443" t="s">
        <v>143</v>
      </c>
      <c r="I443" t="s">
        <v>137</v>
      </c>
    </row>
    <row r="444" spans="1:9" x14ac:dyDescent="0.3">
      <c r="A444" s="2"/>
      <c r="B444" s="3" t="s">
        <v>562</v>
      </c>
      <c r="C444" s="3" t="s">
        <v>255</v>
      </c>
      <c r="D444" s="3" t="s">
        <v>266</v>
      </c>
      <c r="E444" s="3" t="s">
        <v>263</v>
      </c>
      <c r="F444" s="6">
        <v>45930</v>
      </c>
      <c r="G444" s="7">
        <v>2760</v>
      </c>
      <c r="H444" t="s">
        <v>143</v>
      </c>
      <c r="I444" t="s">
        <v>137</v>
      </c>
    </row>
    <row r="445" spans="1:9" x14ac:dyDescent="0.3">
      <c r="A445" s="2"/>
      <c r="B445" s="3" t="s">
        <v>149</v>
      </c>
      <c r="C445" s="3"/>
      <c r="D445" s="3"/>
      <c r="E445" s="3"/>
      <c r="F445" s="6">
        <v>45930</v>
      </c>
      <c r="G445" s="7">
        <v>2760</v>
      </c>
    </row>
    <row r="446" spans="1:9" x14ac:dyDescent="0.3">
      <c r="A446" s="2"/>
      <c r="B446" s="3" t="s">
        <v>150</v>
      </c>
      <c r="C446" s="3" t="s">
        <v>255</v>
      </c>
      <c r="D446" s="3" t="s">
        <v>265</v>
      </c>
      <c r="E446" s="3" t="s">
        <v>263</v>
      </c>
      <c r="F446" s="6">
        <v>45930</v>
      </c>
      <c r="G446" s="7">
        <v>0</v>
      </c>
      <c r="H446" t="s">
        <v>143</v>
      </c>
      <c r="I446" t="s">
        <v>137</v>
      </c>
    </row>
    <row r="447" spans="1:9" x14ac:dyDescent="0.3">
      <c r="A447" s="2"/>
      <c r="B447" s="3" t="s">
        <v>151</v>
      </c>
      <c r="C447" s="3" t="s">
        <v>255</v>
      </c>
      <c r="D447" s="3" t="s">
        <v>267</v>
      </c>
      <c r="E447" s="3" t="s">
        <v>263</v>
      </c>
      <c r="F447" s="6">
        <v>45930</v>
      </c>
      <c r="G447" s="7">
        <v>0</v>
      </c>
      <c r="H447" t="s">
        <v>143</v>
      </c>
      <c r="I447" t="s">
        <v>137</v>
      </c>
    </row>
    <row r="448" spans="1:9" x14ac:dyDescent="0.3">
      <c r="A448" s="2"/>
      <c r="B448" s="3" t="s">
        <v>152</v>
      </c>
      <c r="C448" s="3"/>
      <c r="D448" s="3"/>
      <c r="E448" s="3"/>
      <c r="F448" s="6">
        <v>45930</v>
      </c>
      <c r="G448" s="7">
        <v>2760</v>
      </c>
    </row>
    <row r="449" spans="1:9" x14ac:dyDescent="0.3">
      <c r="A449" s="2"/>
      <c r="B449" s="3" t="s">
        <v>153</v>
      </c>
      <c r="C449" s="3"/>
      <c r="D449" s="3"/>
      <c r="E449" s="3"/>
      <c r="F449" s="6">
        <v>45930</v>
      </c>
      <c r="G449" s="7">
        <v>505481.72</v>
      </c>
    </row>
    <row r="450" spans="1:9" x14ac:dyDescent="0.3">
      <c r="A450" s="2"/>
      <c r="B450" s="3" t="s">
        <v>154</v>
      </c>
      <c r="C450" s="3"/>
      <c r="D450" s="3"/>
      <c r="E450" s="3"/>
      <c r="F450" s="6">
        <v>45930</v>
      </c>
      <c r="G450" s="7">
        <v>0</v>
      </c>
    </row>
    <row r="451" spans="1:9" x14ac:dyDescent="0.3">
      <c r="A451" s="2"/>
      <c r="B451" s="3" t="s">
        <v>155</v>
      </c>
      <c r="C451" s="3" t="s">
        <v>268</v>
      </c>
      <c r="D451" s="3" t="s">
        <v>269</v>
      </c>
      <c r="E451" s="3" t="s">
        <v>263</v>
      </c>
      <c r="F451" s="6">
        <v>45930</v>
      </c>
      <c r="G451" s="7">
        <v>0</v>
      </c>
      <c r="H451" t="s">
        <v>235</v>
      </c>
      <c r="I451" t="s">
        <v>234</v>
      </c>
    </row>
    <row r="452" spans="1:9" x14ac:dyDescent="0.3">
      <c r="A452" s="2"/>
      <c r="B452" s="3" t="s">
        <v>542</v>
      </c>
      <c r="C452" s="3" t="s">
        <v>268</v>
      </c>
      <c r="D452" s="3" t="s">
        <v>269</v>
      </c>
      <c r="E452" s="3" t="s">
        <v>263</v>
      </c>
      <c r="F452" s="6">
        <v>45930</v>
      </c>
      <c r="G452" s="7">
        <v>100000</v>
      </c>
      <c r="H452" t="s">
        <v>235</v>
      </c>
      <c r="I452" t="s">
        <v>234</v>
      </c>
    </row>
    <row r="453" spans="1:9" x14ac:dyDescent="0.3">
      <c r="A453" s="2"/>
      <c r="B453" s="3" t="s">
        <v>156</v>
      </c>
      <c r="C453" s="3"/>
      <c r="D453" s="3"/>
      <c r="E453" s="3"/>
      <c r="F453" s="6">
        <v>45930</v>
      </c>
      <c r="G453" s="7">
        <v>100000</v>
      </c>
    </row>
    <row r="454" spans="1:9" x14ac:dyDescent="0.3">
      <c r="A454" s="2"/>
      <c r="B454" s="3" t="s">
        <v>157</v>
      </c>
      <c r="C454" s="3"/>
      <c r="D454" s="3"/>
      <c r="E454" s="3"/>
      <c r="F454" s="6">
        <v>45930</v>
      </c>
      <c r="G454" s="7">
        <v>100000</v>
      </c>
    </row>
    <row r="455" spans="1:9" x14ac:dyDescent="0.3">
      <c r="A455" s="2"/>
      <c r="B455" s="3" t="s">
        <v>158</v>
      </c>
      <c r="C455" s="3"/>
      <c r="D455" s="3"/>
      <c r="E455" s="3"/>
      <c r="F455" s="6">
        <v>45930</v>
      </c>
      <c r="G455" s="7">
        <v>605481.72</v>
      </c>
    </row>
    <row r="456" spans="1:9" x14ac:dyDescent="0.3">
      <c r="A456" s="2"/>
      <c r="B456" s="3" t="s">
        <v>159</v>
      </c>
      <c r="C456" s="3"/>
      <c r="D456" s="3"/>
      <c r="E456" s="3"/>
      <c r="F456" s="6">
        <v>45930</v>
      </c>
      <c r="G456" s="7">
        <v>0</v>
      </c>
    </row>
    <row r="457" spans="1:9" x14ac:dyDescent="0.3">
      <c r="A457" s="2"/>
      <c r="B457" s="3" t="s">
        <v>160</v>
      </c>
      <c r="C457" s="3"/>
      <c r="D457" s="3"/>
      <c r="E457" s="3"/>
      <c r="F457" s="6">
        <v>45930</v>
      </c>
      <c r="G457" s="7">
        <v>0</v>
      </c>
    </row>
    <row r="458" spans="1:9" x14ac:dyDescent="0.3">
      <c r="A458" s="2"/>
      <c r="B458" s="3" t="s">
        <v>161</v>
      </c>
      <c r="C458" s="3"/>
      <c r="D458" s="3"/>
      <c r="E458" s="3"/>
      <c r="F458" s="6">
        <v>45930</v>
      </c>
      <c r="G458" s="7">
        <v>0</v>
      </c>
    </row>
    <row r="459" spans="1:9" x14ac:dyDescent="0.3">
      <c r="A459" s="2"/>
      <c r="B459" s="3" t="s">
        <v>162</v>
      </c>
      <c r="C459" s="3"/>
      <c r="D459" s="3"/>
      <c r="E459" s="3"/>
      <c r="F459" s="6">
        <v>45930</v>
      </c>
      <c r="G459" s="7">
        <v>0</v>
      </c>
    </row>
    <row r="460" spans="1:9" x14ac:dyDescent="0.3">
      <c r="A460" s="2"/>
      <c r="B460" s="3" t="s">
        <v>163</v>
      </c>
      <c r="C460" s="3" t="s">
        <v>162</v>
      </c>
      <c r="D460" s="3" t="s">
        <v>270</v>
      </c>
      <c r="E460" s="3" t="s">
        <v>271</v>
      </c>
      <c r="F460" s="6">
        <v>45930</v>
      </c>
      <c r="G460" s="7">
        <v>2034.34</v>
      </c>
      <c r="H460" t="s">
        <v>162</v>
      </c>
      <c r="I460" t="s">
        <v>161</v>
      </c>
    </row>
    <row r="461" spans="1:9" x14ac:dyDescent="0.3">
      <c r="A461" s="2"/>
      <c r="B461" s="3" t="s">
        <v>164</v>
      </c>
      <c r="C461" s="3"/>
      <c r="D461" s="3"/>
      <c r="E461" s="3"/>
      <c r="F461" s="6">
        <v>45930</v>
      </c>
      <c r="G461" s="7">
        <v>2034.34</v>
      </c>
    </row>
    <row r="462" spans="1:9" x14ac:dyDescent="0.3">
      <c r="A462" s="2"/>
      <c r="B462" s="3" t="s">
        <v>165</v>
      </c>
      <c r="C462" s="3" t="s">
        <v>256</v>
      </c>
      <c r="D462" s="3" t="s">
        <v>272</v>
      </c>
      <c r="E462" s="3" t="s">
        <v>271</v>
      </c>
      <c r="F462" s="6">
        <v>45930</v>
      </c>
      <c r="G462" s="7">
        <v>0</v>
      </c>
    </row>
    <row r="463" spans="1:9" x14ac:dyDescent="0.3">
      <c r="A463" s="2"/>
      <c r="B463" s="3" t="s">
        <v>545</v>
      </c>
      <c r="C463" s="3" t="s">
        <v>256</v>
      </c>
      <c r="D463" s="3" t="s">
        <v>272</v>
      </c>
      <c r="E463" s="3" t="s">
        <v>271</v>
      </c>
      <c r="F463" s="6">
        <v>45930</v>
      </c>
      <c r="G463" s="7">
        <v>4897.67</v>
      </c>
      <c r="H463" t="s">
        <v>162</v>
      </c>
      <c r="I463" t="s">
        <v>161</v>
      </c>
    </row>
    <row r="464" spans="1:9" x14ac:dyDescent="0.3">
      <c r="A464" s="2"/>
      <c r="B464" s="3" t="s">
        <v>546</v>
      </c>
      <c r="C464" s="3" t="s">
        <v>256</v>
      </c>
      <c r="D464" s="3" t="s">
        <v>272</v>
      </c>
      <c r="E464" s="3" t="s">
        <v>271</v>
      </c>
      <c r="F464" s="6">
        <v>45930</v>
      </c>
      <c r="G464" s="7">
        <v>0</v>
      </c>
      <c r="H464" t="s">
        <v>162</v>
      </c>
      <c r="I464" t="s">
        <v>161</v>
      </c>
    </row>
    <row r="465" spans="1:9" x14ac:dyDescent="0.3">
      <c r="A465" s="2"/>
      <c r="B465" s="3" t="s">
        <v>547</v>
      </c>
      <c r="C465" s="3" t="s">
        <v>256</v>
      </c>
      <c r="D465" s="3" t="s">
        <v>272</v>
      </c>
      <c r="E465" s="3" t="s">
        <v>271</v>
      </c>
      <c r="F465" s="6">
        <v>45930</v>
      </c>
      <c r="G465" s="7">
        <v>1181.01</v>
      </c>
      <c r="H465" t="s">
        <v>162</v>
      </c>
      <c r="I465" t="s">
        <v>161</v>
      </c>
    </row>
    <row r="466" spans="1:9" x14ac:dyDescent="0.3">
      <c r="A466" s="2"/>
      <c r="B466" s="3" t="s">
        <v>166</v>
      </c>
      <c r="C466" s="3"/>
      <c r="D466" s="3"/>
      <c r="E466" s="3"/>
      <c r="F466" s="6">
        <v>45930</v>
      </c>
      <c r="G466" s="7">
        <v>6078.68</v>
      </c>
    </row>
    <row r="467" spans="1:9" x14ac:dyDescent="0.3">
      <c r="A467" s="2"/>
      <c r="B467" s="3" t="s">
        <v>167</v>
      </c>
      <c r="C467" s="3"/>
      <c r="D467" s="3"/>
      <c r="E467" s="3"/>
      <c r="F467" s="6">
        <v>45930</v>
      </c>
      <c r="G467" s="7">
        <v>0</v>
      </c>
    </row>
    <row r="468" spans="1:9" x14ac:dyDescent="0.3">
      <c r="A468" s="2"/>
      <c r="B468" s="3" t="s">
        <v>173</v>
      </c>
      <c r="C468" s="3" t="s">
        <v>257</v>
      </c>
      <c r="D468" s="3" t="s">
        <v>273</v>
      </c>
      <c r="E468" s="3" t="s">
        <v>271</v>
      </c>
      <c r="F468" s="6">
        <v>45930</v>
      </c>
      <c r="G468" s="7">
        <v>197099.25</v>
      </c>
      <c r="H468" t="s">
        <v>237</v>
      </c>
      <c r="I468" t="s">
        <v>161</v>
      </c>
    </row>
    <row r="469" spans="1:9" x14ac:dyDescent="0.3">
      <c r="A469" s="2"/>
      <c r="B469" s="3" t="s">
        <v>174</v>
      </c>
      <c r="C469" s="3" t="s">
        <v>257</v>
      </c>
      <c r="D469" s="3" t="s">
        <v>273</v>
      </c>
      <c r="E469" s="3" t="s">
        <v>271</v>
      </c>
      <c r="F469" s="6">
        <v>45930</v>
      </c>
      <c r="G469" s="7">
        <v>8500</v>
      </c>
      <c r="H469" t="s">
        <v>167</v>
      </c>
      <c r="I469" t="s">
        <v>161</v>
      </c>
    </row>
    <row r="470" spans="1:9" x14ac:dyDescent="0.3">
      <c r="A470" s="2"/>
      <c r="B470" s="3" t="s">
        <v>175</v>
      </c>
      <c r="C470" s="3"/>
      <c r="D470" s="3"/>
      <c r="E470" s="3"/>
      <c r="F470" s="6">
        <v>45930</v>
      </c>
      <c r="G470" s="7">
        <v>205599.25</v>
      </c>
    </row>
    <row r="471" spans="1:9" x14ac:dyDescent="0.3">
      <c r="A471" s="2"/>
      <c r="B471" s="3" t="s">
        <v>176</v>
      </c>
      <c r="C471" s="3"/>
      <c r="D471" s="3"/>
      <c r="E471" s="3"/>
      <c r="F471" s="6">
        <v>45930</v>
      </c>
      <c r="G471" s="7">
        <v>213712.27</v>
      </c>
    </row>
    <row r="472" spans="1:9" x14ac:dyDescent="0.3">
      <c r="A472" s="2"/>
      <c r="B472" s="3" t="s">
        <v>177</v>
      </c>
      <c r="C472" s="3"/>
      <c r="D472" s="3"/>
      <c r="E472" s="3"/>
      <c r="F472" s="6">
        <v>45930</v>
      </c>
      <c r="G472" s="7">
        <v>0</v>
      </c>
    </row>
    <row r="473" spans="1:9" x14ac:dyDescent="0.3">
      <c r="A473" s="2"/>
      <c r="B473" s="3" t="s">
        <v>178</v>
      </c>
      <c r="C473" s="3" t="s">
        <v>274</v>
      </c>
      <c r="D473" s="3" t="s">
        <v>275</v>
      </c>
      <c r="E473" s="3" t="s">
        <v>271</v>
      </c>
      <c r="F473" s="6">
        <v>45930</v>
      </c>
      <c r="G473" s="7">
        <v>90000</v>
      </c>
      <c r="H473" t="s">
        <v>239</v>
      </c>
      <c r="I473" t="s">
        <v>177</v>
      </c>
    </row>
    <row r="474" spans="1:9" x14ac:dyDescent="0.3">
      <c r="A474" s="2"/>
      <c r="B474" s="3" t="s">
        <v>179</v>
      </c>
      <c r="C474" s="3"/>
      <c r="D474" s="3"/>
      <c r="E474" s="3"/>
      <c r="F474" s="6">
        <v>45930</v>
      </c>
      <c r="G474" s="7">
        <v>90000</v>
      </c>
    </row>
    <row r="475" spans="1:9" x14ac:dyDescent="0.3">
      <c r="A475" s="2"/>
      <c r="B475" s="3" t="s">
        <v>14</v>
      </c>
      <c r="C475" s="3"/>
      <c r="D475" s="3"/>
      <c r="E475" s="3"/>
      <c r="F475" s="6">
        <v>45930</v>
      </c>
      <c r="G475" s="7">
        <v>303712.27</v>
      </c>
    </row>
    <row r="476" spans="1:9" x14ac:dyDescent="0.3">
      <c r="A476" s="2"/>
      <c r="B476" s="3" t="s">
        <v>180</v>
      </c>
      <c r="C476" s="3"/>
      <c r="D476" s="3"/>
      <c r="E476" s="3"/>
      <c r="F476" s="6">
        <v>45930</v>
      </c>
      <c r="G476" s="7">
        <v>0</v>
      </c>
    </row>
    <row r="477" spans="1:9" x14ac:dyDescent="0.3">
      <c r="A477" s="2"/>
      <c r="B477" s="3" t="s">
        <v>181</v>
      </c>
      <c r="C477" s="3" t="s">
        <v>180</v>
      </c>
      <c r="D477" s="3" t="s">
        <v>276</v>
      </c>
      <c r="E477" s="3" t="s">
        <v>180</v>
      </c>
      <c r="F477" s="6">
        <v>45930</v>
      </c>
      <c r="G477" s="7">
        <v>0</v>
      </c>
      <c r="H477" t="s">
        <v>240</v>
      </c>
      <c r="I477" t="s">
        <v>180</v>
      </c>
    </row>
    <row r="478" spans="1:9" x14ac:dyDescent="0.3">
      <c r="A478" s="2"/>
      <c r="B478" s="3" t="s">
        <v>563</v>
      </c>
      <c r="C478" s="3" t="s">
        <v>180</v>
      </c>
      <c r="D478" s="3" t="s">
        <v>277</v>
      </c>
      <c r="E478" s="3" t="s">
        <v>180</v>
      </c>
      <c r="F478" s="6">
        <v>45930</v>
      </c>
      <c r="G478" s="7">
        <v>0</v>
      </c>
      <c r="H478" t="s">
        <v>240</v>
      </c>
      <c r="I478" t="s">
        <v>180</v>
      </c>
    </row>
    <row r="479" spans="1:9" x14ac:dyDescent="0.3">
      <c r="A479" s="2"/>
      <c r="B479" s="3" t="s">
        <v>564</v>
      </c>
      <c r="C479" s="3" t="s">
        <v>180</v>
      </c>
      <c r="D479" s="3" t="s">
        <v>278</v>
      </c>
      <c r="E479" s="3" t="s">
        <v>180</v>
      </c>
      <c r="F479" s="6">
        <v>45930</v>
      </c>
      <c r="G479" s="7">
        <v>-75706.92</v>
      </c>
      <c r="H479" t="s">
        <v>240</v>
      </c>
      <c r="I479" t="s">
        <v>180</v>
      </c>
    </row>
    <row r="480" spans="1:9" x14ac:dyDescent="0.3">
      <c r="A480" s="2"/>
      <c r="B480" s="3" t="s">
        <v>565</v>
      </c>
      <c r="C480" s="3"/>
      <c r="D480" s="3"/>
      <c r="E480" s="3"/>
      <c r="F480" s="6">
        <v>45930</v>
      </c>
      <c r="G480" s="7">
        <v>-75706.92</v>
      </c>
    </row>
    <row r="481" spans="1:9" x14ac:dyDescent="0.3">
      <c r="A481" s="2"/>
      <c r="B481" s="3" t="s">
        <v>566</v>
      </c>
      <c r="C481" s="3" t="s">
        <v>180</v>
      </c>
      <c r="D481" s="3" t="s">
        <v>277</v>
      </c>
      <c r="E481" s="3" t="s">
        <v>180</v>
      </c>
      <c r="F481" s="6">
        <v>45930</v>
      </c>
      <c r="G481" s="7">
        <v>0</v>
      </c>
      <c r="H481" t="s">
        <v>240</v>
      </c>
      <c r="I481" t="s">
        <v>180</v>
      </c>
    </row>
    <row r="482" spans="1:9" x14ac:dyDescent="0.3">
      <c r="A482" s="2"/>
      <c r="B482" s="3" t="s">
        <v>183</v>
      </c>
      <c r="C482" s="3" t="s">
        <v>180</v>
      </c>
      <c r="D482" s="3" t="s">
        <v>280</v>
      </c>
      <c r="E482" s="3" t="s">
        <v>180</v>
      </c>
      <c r="F482" s="6">
        <v>45930</v>
      </c>
      <c r="G482" s="7">
        <v>-75000</v>
      </c>
      <c r="H482" t="s">
        <v>240</v>
      </c>
      <c r="I482" t="s">
        <v>180</v>
      </c>
    </row>
    <row r="483" spans="1:9" x14ac:dyDescent="0.3">
      <c r="A483" s="2"/>
      <c r="B483" s="3" t="s">
        <v>567</v>
      </c>
      <c r="C483" s="3"/>
      <c r="D483" s="3"/>
      <c r="E483" s="3"/>
      <c r="F483" s="6">
        <v>45930</v>
      </c>
      <c r="G483" s="7">
        <v>-75000</v>
      </c>
    </row>
    <row r="484" spans="1:9" x14ac:dyDescent="0.3">
      <c r="A484" s="2"/>
      <c r="B484" s="3" t="s">
        <v>185</v>
      </c>
      <c r="C484" s="3" t="s">
        <v>180</v>
      </c>
      <c r="D484" s="3" t="s">
        <v>279</v>
      </c>
      <c r="E484" s="3" t="s">
        <v>180</v>
      </c>
      <c r="F484" s="6">
        <v>45930</v>
      </c>
      <c r="G484" s="7">
        <v>406280.27</v>
      </c>
      <c r="H484" t="s">
        <v>240</v>
      </c>
      <c r="I484" t="s">
        <v>180</v>
      </c>
    </row>
    <row r="485" spans="1:9" x14ac:dyDescent="0.3">
      <c r="A485" s="2"/>
      <c r="B485" s="3" t="s">
        <v>186</v>
      </c>
      <c r="C485" s="3" t="s">
        <v>180</v>
      </c>
      <c r="D485" s="3" t="s">
        <v>278</v>
      </c>
      <c r="E485" s="3" t="s">
        <v>180</v>
      </c>
      <c r="F485" s="6">
        <v>45930</v>
      </c>
      <c r="G485" s="7">
        <v>0</v>
      </c>
    </row>
    <row r="486" spans="1:9" x14ac:dyDescent="0.3">
      <c r="A486" s="2"/>
      <c r="B486" s="3" t="s">
        <v>12</v>
      </c>
      <c r="C486" s="3" t="s">
        <v>180</v>
      </c>
      <c r="D486" s="3"/>
      <c r="E486" s="3" t="s">
        <v>180</v>
      </c>
      <c r="F486" s="6">
        <v>45930</v>
      </c>
      <c r="G486" s="7">
        <v>46196.1</v>
      </c>
    </row>
    <row r="487" spans="1:9" x14ac:dyDescent="0.3">
      <c r="A487" s="2"/>
      <c r="B487" s="3" t="s">
        <v>15</v>
      </c>
      <c r="C487" s="3"/>
      <c r="D487" s="3"/>
      <c r="E487" s="3"/>
      <c r="F487" s="6">
        <v>45930</v>
      </c>
      <c r="G487" s="7">
        <v>301769.45</v>
      </c>
    </row>
    <row r="488" spans="1:9" x14ac:dyDescent="0.3">
      <c r="A488" s="2"/>
      <c r="B488" s="3" t="s">
        <v>187</v>
      </c>
      <c r="C488" s="3"/>
      <c r="D488" s="3"/>
      <c r="E488" s="3"/>
      <c r="F488" s="6">
        <v>45930</v>
      </c>
      <c r="G488" s="7">
        <v>605481.72</v>
      </c>
    </row>
    <row r="489" spans="1:9" x14ac:dyDescent="0.3">
      <c r="A489" s="2"/>
      <c r="B489" s="3" t="s">
        <v>136</v>
      </c>
      <c r="C489" s="3"/>
      <c r="D489" s="3"/>
      <c r="E489" s="3"/>
      <c r="F489" s="6">
        <v>45961</v>
      </c>
      <c r="G489" s="7">
        <v>0</v>
      </c>
    </row>
    <row r="490" spans="1:9" x14ac:dyDescent="0.3">
      <c r="A490" s="2"/>
      <c r="B490" s="3" t="s">
        <v>137</v>
      </c>
      <c r="C490" s="3"/>
      <c r="D490" s="3"/>
      <c r="E490" s="3"/>
      <c r="F490" s="6">
        <v>45961</v>
      </c>
      <c r="G490" s="7">
        <v>0</v>
      </c>
    </row>
    <row r="491" spans="1:9" x14ac:dyDescent="0.3">
      <c r="A491" s="2"/>
      <c r="B491" s="3" t="s">
        <v>138</v>
      </c>
      <c r="C491" s="3"/>
      <c r="D491" s="3"/>
      <c r="E491" s="3"/>
      <c r="F491" s="6">
        <v>45961</v>
      </c>
      <c r="G491" s="7">
        <v>0</v>
      </c>
    </row>
    <row r="492" spans="1:9" x14ac:dyDescent="0.3">
      <c r="A492" s="2"/>
      <c r="B492" s="3" t="s">
        <v>553</v>
      </c>
      <c r="C492" s="3" t="s">
        <v>254</v>
      </c>
      <c r="D492" s="3" t="s">
        <v>262</v>
      </c>
      <c r="E492" s="3" t="s">
        <v>263</v>
      </c>
      <c r="F492" s="6">
        <v>45961</v>
      </c>
      <c r="G492" s="7">
        <v>326997.83</v>
      </c>
      <c r="H492" t="s">
        <v>232</v>
      </c>
      <c r="I492" t="s">
        <v>137</v>
      </c>
    </row>
    <row r="493" spans="1:9" x14ac:dyDescent="0.3">
      <c r="A493" s="2"/>
      <c r="B493" s="3" t="s">
        <v>554</v>
      </c>
      <c r="C493" s="3" t="s">
        <v>254</v>
      </c>
      <c r="D493" s="3" t="s">
        <v>262</v>
      </c>
      <c r="E493" s="3" t="s">
        <v>263</v>
      </c>
      <c r="F493" s="6">
        <v>45961</v>
      </c>
      <c r="G493" s="7">
        <v>15000</v>
      </c>
      <c r="H493" t="s">
        <v>232</v>
      </c>
      <c r="I493" t="s">
        <v>137</v>
      </c>
    </row>
    <row r="494" spans="1:9" x14ac:dyDescent="0.3">
      <c r="A494" s="2"/>
      <c r="B494" s="3" t="s">
        <v>139</v>
      </c>
      <c r="C494" s="3"/>
      <c r="D494" s="3"/>
      <c r="E494" s="3"/>
      <c r="F494" s="6">
        <v>45961</v>
      </c>
      <c r="G494" s="7">
        <v>341997.83</v>
      </c>
    </row>
    <row r="495" spans="1:9" x14ac:dyDescent="0.3">
      <c r="A495" s="2"/>
      <c r="B495" s="3" t="s">
        <v>140</v>
      </c>
      <c r="C495" s="3"/>
      <c r="D495" s="3"/>
      <c r="E495" s="3"/>
      <c r="F495" s="6">
        <v>45961</v>
      </c>
      <c r="G495" s="7">
        <v>0</v>
      </c>
    </row>
    <row r="496" spans="1:9" x14ac:dyDescent="0.3">
      <c r="A496" s="2"/>
      <c r="B496" s="3" t="s">
        <v>141</v>
      </c>
      <c r="C496" s="3" t="s">
        <v>140</v>
      </c>
      <c r="D496" s="3" t="s">
        <v>264</v>
      </c>
      <c r="E496" s="3" t="s">
        <v>263</v>
      </c>
      <c r="F496" s="6">
        <v>45961</v>
      </c>
      <c r="G496" s="7">
        <v>109437.97</v>
      </c>
      <c r="H496" t="s">
        <v>233</v>
      </c>
      <c r="I496" t="s">
        <v>137</v>
      </c>
    </row>
    <row r="497" spans="1:9" x14ac:dyDescent="0.3">
      <c r="A497" s="2"/>
      <c r="B497" s="3" t="s">
        <v>142</v>
      </c>
      <c r="C497" s="3"/>
      <c r="D497" s="3"/>
      <c r="E497" s="3"/>
      <c r="F497" s="6">
        <v>45961</v>
      </c>
      <c r="G497" s="7">
        <v>109437.97</v>
      </c>
    </row>
    <row r="498" spans="1:9" x14ac:dyDescent="0.3">
      <c r="A498" s="2"/>
      <c r="B498" s="3" t="s">
        <v>143</v>
      </c>
      <c r="C498" s="3" t="s">
        <v>255</v>
      </c>
      <c r="D498" s="3" t="s">
        <v>265</v>
      </c>
      <c r="E498" s="3" t="s">
        <v>263</v>
      </c>
      <c r="F498" s="6">
        <v>45961</v>
      </c>
      <c r="G498" s="7">
        <v>0</v>
      </c>
    </row>
    <row r="499" spans="1:9" x14ac:dyDescent="0.3">
      <c r="A499" s="2"/>
      <c r="B499" s="3" t="s">
        <v>144</v>
      </c>
      <c r="C499" s="3" t="s">
        <v>255</v>
      </c>
      <c r="D499" s="3" t="s">
        <v>265</v>
      </c>
      <c r="E499" s="3" t="s">
        <v>263</v>
      </c>
      <c r="F499" s="6">
        <v>45961</v>
      </c>
      <c r="G499" s="7">
        <v>519.15</v>
      </c>
      <c r="H499" t="s">
        <v>143</v>
      </c>
      <c r="I499" t="s">
        <v>137</v>
      </c>
    </row>
    <row r="500" spans="1:9" x14ac:dyDescent="0.3">
      <c r="A500" s="2"/>
      <c r="B500" s="3" t="s">
        <v>146</v>
      </c>
      <c r="C500" s="3" t="s">
        <v>255</v>
      </c>
      <c r="D500" s="3" t="s">
        <v>266</v>
      </c>
      <c r="E500" s="3" t="s">
        <v>263</v>
      </c>
      <c r="F500" s="6">
        <v>45961</v>
      </c>
      <c r="G500" s="7">
        <v>0</v>
      </c>
      <c r="H500" t="s">
        <v>143</v>
      </c>
      <c r="I500" t="s">
        <v>137</v>
      </c>
    </row>
    <row r="501" spans="1:9" x14ac:dyDescent="0.3">
      <c r="A501" s="2"/>
      <c r="B501" s="3" t="s">
        <v>562</v>
      </c>
      <c r="C501" s="3" t="s">
        <v>255</v>
      </c>
      <c r="D501" s="3" t="s">
        <v>266</v>
      </c>
      <c r="E501" s="3" t="s">
        <v>263</v>
      </c>
      <c r="F501" s="6">
        <v>45961</v>
      </c>
      <c r="G501" s="7">
        <v>8640</v>
      </c>
      <c r="H501" t="s">
        <v>143</v>
      </c>
      <c r="I501" t="s">
        <v>137</v>
      </c>
    </row>
    <row r="502" spans="1:9" x14ac:dyDescent="0.3">
      <c r="A502" s="2"/>
      <c r="B502" s="3" t="s">
        <v>149</v>
      </c>
      <c r="C502" s="3"/>
      <c r="D502" s="3"/>
      <c r="E502" s="3"/>
      <c r="F502" s="6">
        <v>45961</v>
      </c>
      <c r="G502" s="7">
        <v>8640</v>
      </c>
    </row>
    <row r="503" spans="1:9" x14ac:dyDescent="0.3">
      <c r="A503" s="2"/>
      <c r="B503" s="3" t="s">
        <v>150</v>
      </c>
      <c r="C503" s="3" t="s">
        <v>255</v>
      </c>
      <c r="D503" s="3" t="s">
        <v>265</v>
      </c>
      <c r="E503" s="3" t="s">
        <v>263</v>
      </c>
      <c r="F503" s="6">
        <v>45961</v>
      </c>
      <c r="G503" s="7">
        <v>0</v>
      </c>
      <c r="H503" t="s">
        <v>143</v>
      </c>
      <c r="I503" t="s">
        <v>137</v>
      </c>
    </row>
    <row r="504" spans="1:9" x14ac:dyDescent="0.3">
      <c r="A504" s="2"/>
      <c r="B504" s="3" t="s">
        <v>151</v>
      </c>
      <c r="C504" s="3" t="s">
        <v>255</v>
      </c>
      <c r="D504" s="3" t="s">
        <v>267</v>
      </c>
      <c r="E504" s="3" t="s">
        <v>263</v>
      </c>
      <c r="F504" s="6">
        <v>45961</v>
      </c>
      <c r="G504" s="7">
        <v>0</v>
      </c>
      <c r="H504" t="s">
        <v>143</v>
      </c>
      <c r="I504" t="s">
        <v>137</v>
      </c>
    </row>
    <row r="505" spans="1:9" x14ac:dyDescent="0.3">
      <c r="A505" s="2"/>
      <c r="B505" s="3" t="s">
        <v>152</v>
      </c>
      <c r="C505" s="3"/>
      <c r="D505" s="3"/>
      <c r="E505" s="3"/>
      <c r="F505" s="6">
        <v>45961</v>
      </c>
      <c r="G505" s="7">
        <v>9159.15</v>
      </c>
    </row>
    <row r="506" spans="1:9" x14ac:dyDescent="0.3">
      <c r="A506" s="2"/>
      <c r="B506" s="3" t="s">
        <v>153</v>
      </c>
      <c r="C506" s="3"/>
      <c r="D506" s="3"/>
      <c r="E506" s="3"/>
      <c r="F506" s="6">
        <v>45961</v>
      </c>
      <c r="G506" s="7">
        <v>460594.95</v>
      </c>
    </row>
    <row r="507" spans="1:9" x14ac:dyDescent="0.3">
      <c r="A507" s="2"/>
      <c r="B507" s="3" t="s">
        <v>154</v>
      </c>
      <c r="C507" s="3"/>
      <c r="D507" s="3"/>
      <c r="E507" s="3"/>
      <c r="F507" s="6">
        <v>45961</v>
      </c>
      <c r="G507" s="7">
        <v>0</v>
      </c>
    </row>
    <row r="508" spans="1:9" x14ac:dyDescent="0.3">
      <c r="A508" s="2"/>
      <c r="B508" s="3" t="s">
        <v>155</v>
      </c>
      <c r="C508" s="3" t="s">
        <v>268</v>
      </c>
      <c r="D508" s="3" t="s">
        <v>269</v>
      </c>
      <c r="E508" s="3" t="s">
        <v>263</v>
      </c>
      <c r="F508" s="6">
        <v>45961</v>
      </c>
      <c r="G508" s="7">
        <v>0</v>
      </c>
      <c r="H508" t="s">
        <v>235</v>
      </c>
      <c r="I508" t="s">
        <v>234</v>
      </c>
    </row>
    <row r="509" spans="1:9" x14ac:dyDescent="0.3">
      <c r="A509" s="2"/>
      <c r="B509" s="3" t="s">
        <v>542</v>
      </c>
      <c r="C509" s="3" t="s">
        <v>268</v>
      </c>
      <c r="D509" s="3" t="s">
        <v>269</v>
      </c>
      <c r="E509" s="3" t="s">
        <v>263</v>
      </c>
      <c r="F509" s="6">
        <v>45961</v>
      </c>
      <c r="G509" s="7">
        <v>100000</v>
      </c>
      <c r="H509" t="s">
        <v>235</v>
      </c>
      <c r="I509" t="s">
        <v>234</v>
      </c>
    </row>
    <row r="510" spans="1:9" x14ac:dyDescent="0.3">
      <c r="A510" s="2"/>
      <c r="B510" s="3" t="s">
        <v>156</v>
      </c>
      <c r="C510" s="3"/>
      <c r="D510" s="3"/>
      <c r="E510" s="3"/>
      <c r="F510" s="6">
        <v>45961</v>
      </c>
      <c r="G510" s="7">
        <v>100000</v>
      </c>
    </row>
    <row r="511" spans="1:9" x14ac:dyDescent="0.3">
      <c r="A511" s="2"/>
      <c r="B511" s="3" t="s">
        <v>157</v>
      </c>
      <c r="C511" s="3"/>
      <c r="D511" s="3"/>
      <c r="E511" s="3"/>
      <c r="F511" s="6">
        <v>45961</v>
      </c>
      <c r="G511" s="7">
        <v>100000</v>
      </c>
    </row>
    <row r="512" spans="1:9" x14ac:dyDescent="0.3">
      <c r="A512" s="2"/>
      <c r="B512" s="3" t="s">
        <v>158</v>
      </c>
      <c r="C512" s="3"/>
      <c r="D512" s="3"/>
      <c r="E512" s="3"/>
      <c r="F512" s="6">
        <v>45961</v>
      </c>
      <c r="G512" s="7">
        <v>560594.94999999995</v>
      </c>
    </row>
    <row r="513" spans="1:9" x14ac:dyDescent="0.3">
      <c r="A513" s="2"/>
      <c r="B513" s="3" t="s">
        <v>159</v>
      </c>
      <c r="C513" s="3"/>
      <c r="D513" s="3"/>
      <c r="E513" s="3"/>
      <c r="F513" s="6">
        <v>45961</v>
      </c>
      <c r="G513" s="7">
        <v>0</v>
      </c>
    </row>
    <row r="514" spans="1:9" x14ac:dyDescent="0.3">
      <c r="A514" s="2"/>
      <c r="B514" s="3" t="s">
        <v>160</v>
      </c>
      <c r="C514" s="3"/>
      <c r="D514" s="3"/>
      <c r="E514" s="3"/>
      <c r="F514" s="6">
        <v>45961</v>
      </c>
      <c r="G514" s="7">
        <v>0</v>
      </c>
    </row>
    <row r="515" spans="1:9" x14ac:dyDescent="0.3">
      <c r="A515" s="2"/>
      <c r="B515" s="3" t="s">
        <v>161</v>
      </c>
      <c r="C515" s="3"/>
      <c r="D515" s="3"/>
      <c r="E515" s="3"/>
      <c r="F515" s="6">
        <v>45961</v>
      </c>
      <c r="G515" s="7">
        <v>0</v>
      </c>
    </row>
    <row r="516" spans="1:9" x14ac:dyDescent="0.3">
      <c r="A516" s="2"/>
      <c r="B516" s="3" t="s">
        <v>162</v>
      </c>
      <c r="C516" s="3"/>
      <c r="D516" s="3"/>
      <c r="E516" s="3"/>
      <c r="F516" s="6">
        <v>45961</v>
      </c>
      <c r="G516" s="7">
        <v>0</v>
      </c>
    </row>
    <row r="517" spans="1:9" x14ac:dyDescent="0.3">
      <c r="A517" s="2"/>
      <c r="B517" s="3" t="s">
        <v>163</v>
      </c>
      <c r="C517" s="3" t="s">
        <v>162</v>
      </c>
      <c r="D517" s="3" t="s">
        <v>270</v>
      </c>
      <c r="E517" s="3" t="s">
        <v>271</v>
      </c>
      <c r="F517" s="6">
        <v>45961</v>
      </c>
      <c r="G517" s="7">
        <v>6622.31</v>
      </c>
      <c r="H517" t="s">
        <v>162</v>
      </c>
      <c r="I517" t="s">
        <v>161</v>
      </c>
    </row>
    <row r="518" spans="1:9" x14ac:dyDescent="0.3">
      <c r="A518" s="2"/>
      <c r="B518" s="3" t="s">
        <v>164</v>
      </c>
      <c r="C518" s="3"/>
      <c r="D518" s="3"/>
      <c r="E518" s="3"/>
      <c r="F518" s="6">
        <v>45961</v>
      </c>
      <c r="G518" s="7">
        <v>6622.31</v>
      </c>
    </row>
    <row r="519" spans="1:9" x14ac:dyDescent="0.3">
      <c r="A519" s="2"/>
      <c r="B519" s="3" t="s">
        <v>165</v>
      </c>
      <c r="C519" s="3" t="s">
        <v>256</v>
      </c>
      <c r="D519" s="3" t="s">
        <v>272</v>
      </c>
      <c r="E519" s="3" t="s">
        <v>271</v>
      </c>
      <c r="F519" s="6">
        <v>45961</v>
      </c>
      <c r="G519" s="7">
        <v>0</v>
      </c>
    </row>
    <row r="520" spans="1:9" x14ac:dyDescent="0.3">
      <c r="A520" s="2"/>
      <c r="B520" s="3" t="s">
        <v>545</v>
      </c>
      <c r="C520" s="3" t="s">
        <v>256</v>
      </c>
      <c r="D520" s="3" t="s">
        <v>272</v>
      </c>
      <c r="E520" s="3" t="s">
        <v>271</v>
      </c>
      <c r="F520" s="6">
        <v>45961</v>
      </c>
      <c r="G520" s="7">
        <v>9665.1200000000008</v>
      </c>
      <c r="H520" t="s">
        <v>162</v>
      </c>
      <c r="I520" t="s">
        <v>161</v>
      </c>
    </row>
    <row r="521" spans="1:9" x14ac:dyDescent="0.3">
      <c r="A521" s="2"/>
      <c r="B521" s="3" t="s">
        <v>546</v>
      </c>
      <c r="C521" s="3" t="s">
        <v>256</v>
      </c>
      <c r="D521" s="3" t="s">
        <v>272</v>
      </c>
      <c r="E521" s="3" t="s">
        <v>271</v>
      </c>
      <c r="F521" s="6">
        <v>45961</v>
      </c>
      <c r="G521" s="7">
        <v>0</v>
      </c>
      <c r="H521" t="s">
        <v>162</v>
      </c>
      <c r="I521" t="s">
        <v>161</v>
      </c>
    </row>
    <row r="522" spans="1:9" x14ac:dyDescent="0.3">
      <c r="A522" s="2"/>
      <c r="B522" s="3" t="s">
        <v>547</v>
      </c>
      <c r="C522" s="3" t="s">
        <v>256</v>
      </c>
      <c r="D522" s="3" t="s">
        <v>272</v>
      </c>
      <c r="E522" s="3" t="s">
        <v>271</v>
      </c>
      <c r="F522" s="6">
        <v>45961</v>
      </c>
      <c r="G522" s="7">
        <v>417.74</v>
      </c>
      <c r="H522" t="s">
        <v>162</v>
      </c>
      <c r="I522" t="s">
        <v>161</v>
      </c>
    </row>
    <row r="523" spans="1:9" x14ac:dyDescent="0.3">
      <c r="A523" s="2"/>
      <c r="B523" s="3" t="s">
        <v>166</v>
      </c>
      <c r="C523" s="3"/>
      <c r="D523" s="3"/>
      <c r="E523" s="3"/>
      <c r="F523" s="6">
        <v>45961</v>
      </c>
      <c r="G523" s="7">
        <v>10082.86</v>
      </c>
    </row>
    <row r="524" spans="1:9" x14ac:dyDescent="0.3">
      <c r="A524" s="2"/>
      <c r="B524" s="3" t="s">
        <v>167</v>
      </c>
      <c r="C524" s="3"/>
      <c r="D524" s="3"/>
      <c r="E524" s="3"/>
      <c r="F524" s="6">
        <v>45961</v>
      </c>
      <c r="G524" s="7">
        <v>0</v>
      </c>
    </row>
    <row r="525" spans="1:9" x14ac:dyDescent="0.3">
      <c r="A525" s="2"/>
      <c r="B525" s="3" t="s">
        <v>173</v>
      </c>
      <c r="C525" s="3" t="s">
        <v>257</v>
      </c>
      <c r="D525" s="3" t="s">
        <v>273</v>
      </c>
      <c r="E525" s="3" t="s">
        <v>271</v>
      </c>
      <c r="F525" s="6">
        <v>45961</v>
      </c>
      <c r="G525" s="7">
        <v>146274.07</v>
      </c>
      <c r="H525" t="s">
        <v>237</v>
      </c>
      <c r="I525" t="s">
        <v>161</v>
      </c>
    </row>
    <row r="526" spans="1:9" x14ac:dyDescent="0.3">
      <c r="A526" s="2"/>
      <c r="B526" s="3" t="s">
        <v>174</v>
      </c>
      <c r="C526" s="3" t="s">
        <v>257</v>
      </c>
      <c r="D526" s="3" t="s">
        <v>273</v>
      </c>
      <c r="E526" s="3" t="s">
        <v>271</v>
      </c>
      <c r="F526" s="6">
        <v>45961</v>
      </c>
      <c r="G526" s="7">
        <v>7875</v>
      </c>
      <c r="H526" t="s">
        <v>167</v>
      </c>
      <c r="I526" t="s">
        <v>161</v>
      </c>
    </row>
    <row r="527" spans="1:9" x14ac:dyDescent="0.3">
      <c r="A527" s="2"/>
      <c r="B527" s="3" t="s">
        <v>175</v>
      </c>
      <c r="C527" s="3"/>
      <c r="D527" s="3"/>
      <c r="E527" s="3"/>
      <c r="F527" s="6">
        <v>45961</v>
      </c>
      <c r="G527" s="7">
        <v>154149.07</v>
      </c>
    </row>
    <row r="528" spans="1:9" x14ac:dyDescent="0.3">
      <c r="A528" s="2"/>
      <c r="B528" s="3" t="s">
        <v>176</v>
      </c>
      <c r="C528" s="3"/>
      <c r="D528" s="3"/>
      <c r="E528" s="3"/>
      <c r="F528" s="6">
        <v>45961</v>
      </c>
      <c r="G528" s="7">
        <v>170854.24</v>
      </c>
    </row>
    <row r="529" spans="1:9" x14ac:dyDescent="0.3">
      <c r="A529" s="2"/>
      <c r="B529" s="3" t="s">
        <v>177</v>
      </c>
      <c r="C529" s="3"/>
      <c r="D529" s="3"/>
      <c r="E529" s="3"/>
      <c r="F529" s="6">
        <v>45961</v>
      </c>
      <c r="G529" s="7">
        <v>0</v>
      </c>
    </row>
    <row r="530" spans="1:9" x14ac:dyDescent="0.3">
      <c r="A530" s="2"/>
      <c r="B530" s="3" t="s">
        <v>178</v>
      </c>
      <c r="C530" s="3" t="s">
        <v>274</v>
      </c>
      <c r="D530" s="3" t="s">
        <v>275</v>
      </c>
      <c r="E530" s="3" t="s">
        <v>271</v>
      </c>
      <c r="F530" s="6">
        <v>45961</v>
      </c>
      <c r="G530" s="7">
        <v>90000</v>
      </c>
      <c r="H530" t="s">
        <v>239</v>
      </c>
      <c r="I530" t="s">
        <v>177</v>
      </c>
    </row>
    <row r="531" spans="1:9" x14ac:dyDescent="0.3">
      <c r="A531" s="2"/>
      <c r="B531" s="3" t="s">
        <v>179</v>
      </c>
      <c r="C531" s="3"/>
      <c r="D531" s="3"/>
      <c r="E531" s="3"/>
      <c r="F531" s="6">
        <v>45961</v>
      </c>
      <c r="G531" s="7">
        <v>90000</v>
      </c>
    </row>
    <row r="532" spans="1:9" x14ac:dyDescent="0.3">
      <c r="A532" s="2"/>
      <c r="B532" s="3" t="s">
        <v>14</v>
      </c>
      <c r="C532" s="3"/>
      <c r="D532" s="3"/>
      <c r="E532" s="3"/>
      <c r="F532" s="6">
        <v>45961</v>
      </c>
      <c r="G532" s="7">
        <v>260854.24</v>
      </c>
    </row>
    <row r="533" spans="1:9" x14ac:dyDescent="0.3">
      <c r="A533" s="2"/>
      <c r="B533" s="3" t="s">
        <v>180</v>
      </c>
      <c r="C533" s="3"/>
      <c r="D533" s="3"/>
      <c r="E533" s="3"/>
      <c r="F533" s="6">
        <v>45961</v>
      </c>
      <c r="G533" s="7">
        <v>0</v>
      </c>
    </row>
    <row r="534" spans="1:9" x14ac:dyDescent="0.3">
      <c r="A534" s="2"/>
      <c r="B534" s="3" t="s">
        <v>181</v>
      </c>
      <c r="C534" s="3" t="s">
        <v>180</v>
      </c>
      <c r="D534" s="3" t="s">
        <v>276</v>
      </c>
      <c r="E534" s="3" t="s">
        <v>180</v>
      </c>
      <c r="F534" s="6">
        <v>45961</v>
      </c>
      <c r="G534" s="7">
        <v>0</v>
      </c>
      <c r="H534" t="s">
        <v>240</v>
      </c>
      <c r="I534" t="s">
        <v>180</v>
      </c>
    </row>
    <row r="535" spans="1:9" x14ac:dyDescent="0.3">
      <c r="A535" s="2"/>
      <c r="B535" s="3" t="s">
        <v>563</v>
      </c>
      <c r="C535" s="3" t="s">
        <v>180</v>
      </c>
      <c r="D535" s="3" t="s">
        <v>277</v>
      </c>
      <c r="E535" s="3" t="s">
        <v>180</v>
      </c>
      <c r="F535" s="6">
        <v>45961</v>
      </c>
      <c r="G535" s="7">
        <v>0</v>
      </c>
      <c r="H535" t="s">
        <v>240</v>
      </c>
      <c r="I535" t="s">
        <v>180</v>
      </c>
    </row>
    <row r="536" spans="1:9" x14ac:dyDescent="0.3">
      <c r="A536" s="2"/>
      <c r="B536" s="3" t="s">
        <v>564</v>
      </c>
      <c r="C536" s="3" t="s">
        <v>180</v>
      </c>
      <c r="D536" s="3" t="s">
        <v>278</v>
      </c>
      <c r="E536" s="3" t="s">
        <v>180</v>
      </c>
      <c r="F536" s="6">
        <v>45961</v>
      </c>
      <c r="G536" s="7">
        <v>-75734.259999999995</v>
      </c>
      <c r="H536" t="s">
        <v>240</v>
      </c>
      <c r="I536" t="s">
        <v>180</v>
      </c>
    </row>
    <row r="537" spans="1:9" x14ac:dyDescent="0.3">
      <c r="A537" s="2"/>
      <c r="B537" s="3" t="s">
        <v>565</v>
      </c>
      <c r="C537" s="3"/>
      <c r="D537" s="3"/>
      <c r="E537" s="3"/>
      <c r="F537" s="6">
        <v>45961</v>
      </c>
      <c r="G537" s="7">
        <v>-75734.259999999995</v>
      </c>
    </row>
    <row r="538" spans="1:9" x14ac:dyDescent="0.3">
      <c r="A538" s="2"/>
      <c r="B538" s="3" t="s">
        <v>566</v>
      </c>
      <c r="C538" s="3" t="s">
        <v>180</v>
      </c>
      <c r="D538" s="3" t="s">
        <v>277</v>
      </c>
      <c r="E538" s="3" t="s">
        <v>180</v>
      </c>
      <c r="F538" s="6">
        <v>45961</v>
      </c>
      <c r="G538" s="7">
        <v>0</v>
      </c>
      <c r="H538" t="s">
        <v>240</v>
      </c>
      <c r="I538" t="s">
        <v>180</v>
      </c>
    </row>
    <row r="539" spans="1:9" x14ac:dyDescent="0.3">
      <c r="A539" s="2"/>
      <c r="B539" s="3" t="s">
        <v>183</v>
      </c>
      <c r="C539" s="3" t="s">
        <v>180</v>
      </c>
      <c r="D539" s="3" t="s">
        <v>280</v>
      </c>
      <c r="E539" s="3" t="s">
        <v>180</v>
      </c>
      <c r="F539" s="6">
        <v>45961</v>
      </c>
      <c r="G539" s="7">
        <v>-75000</v>
      </c>
      <c r="H539" t="s">
        <v>240</v>
      </c>
      <c r="I539" t="s">
        <v>180</v>
      </c>
    </row>
    <row r="540" spans="1:9" x14ac:dyDescent="0.3">
      <c r="A540" s="2"/>
      <c r="B540" s="3" t="s">
        <v>567</v>
      </c>
      <c r="C540" s="3"/>
      <c r="D540" s="3"/>
      <c r="E540" s="3"/>
      <c r="F540" s="6">
        <v>45961</v>
      </c>
      <c r="G540" s="7">
        <v>-75000</v>
      </c>
    </row>
    <row r="541" spans="1:9" x14ac:dyDescent="0.3">
      <c r="A541" s="2"/>
      <c r="B541" s="3" t="s">
        <v>185</v>
      </c>
      <c r="C541" s="3" t="s">
        <v>180</v>
      </c>
      <c r="D541" s="3" t="s">
        <v>279</v>
      </c>
      <c r="E541" s="3" t="s">
        <v>180</v>
      </c>
      <c r="F541" s="6">
        <v>45961</v>
      </c>
      <c r="G541" s="7">
        <v>406280.27</v>
      </c>
      <c r="H541" t="s">
        <v>240</v>
      </c>
      <c r="I541" t="s">
        <v>180</v>
      </c>
    </row>
    <row r="542" spans="1:9" x14ac:dyDescent="0.3">
      <c r="A542" s="2"/>
      <c r="B542" s="3" t="s">
        <v>186</v>
      </c>
      <c r="C542" s="3" t="s">
        <v>180</v>
      </c>
      <c r="D542" s="3" t="s">
        <v>278</v>
      </c>
      <c r="E542" s="3" t="s">
        <v>180</v>
      </c>
      <c r="F542" s="6">
        <v>45961</v>
      </c>
      <c r="G542" s="7">
        <v>0</v>
      </c>
    </row>
    <row r="543" spans="1:9" x14ac:dyDescent="0.3">
      <c r="A543" s="2"/>
      <c r="B543" s="3" t="s">
        <v>12</v>
      </c>
      <c r="C543" s="3" t="s">
        <v>180</v>
      </c>
      <c r="D543" s="3"/>
      <c r="E543" s="3" t="s">
        <v>180</v>
      </c>
      <c r="F543" s="6">
        <v>45961</v>
      </c>
      <c r="G543" s="7">
        <v>44194.7</v>
      </c>
    </row>
    <row r="544" spans="1:9" x14ac:dyDescent="0.3">
      <c r="A544" s="2"/>
      <c r="B544" s="3" t="s">
        <v>15</v>
      </c>
      <c r="C544" s="3"/>
      <c r="D544" s="3"/>
      <c r="E544" s="3"/>
      <c r="F544" s="6">
        <v>45961</v>
      </c>
      <c r="G544" s="7">
        <v>299740.71000000002</v>
      </c>
    </row>
    <row r="545" spans="1:9" x14ac:dyDescent="0.3">
      <c r="A545" s="2"/>
      <c r="B545" s="3" t="s">
        <v>187</v>
      </c>
      <c r="C545" s="3"/>
      <c r="D545" s="3"/>
      <c r="E545" s="3"/>
      <c r="F545" s="6">
        <v>45961</v>
      </c>
      <c r="G545" s="7">
        <v>560594.94999999995</v>
      </c>
    </row>
    <row r="546" spans="1:9" x14ac:dyDescent="0.3">
      <c r="A546" s="2"/>
      <c r="B546" s="3" t="s">
        <v>136</v>
      </c>
      <c r="C546" s="3"/>
      <c r="D546" s="3"/>
      <c r="E546" s="3"/>
      <c r="F546" s="6">
        <v>45991</v>
      </c>
      <c r="G546" s="7">
        <v>0</v>
      </c>
    </row>
    <row r="547" spans="1:9" x14ac:dyDescent="0.3">
      <c r="A547" s="2"/>
      <c r="B547" s="3" t="s">
        <v>137</v>
      </c>
      <c r="C547" s="3"/>
      <c r="D547" s="3"/>
      <c r="E547" s="3"/>
      <c r="F547" s="6">
        <v>45991</v>
      </c>
      <c r="G547" s="7">
        <v>0</v>
      </c>
    </row>
    <row r="548" spans="1:9" x14ac:dyDescent="0.3">
      <c r="A548" s="2"/>
      <c r="B548" s="3" t="s">
        <v>138</v>
      </c>
      <c r="C548" s="3"/>
      <c r="D548" s="3"/>
      <c r="E548" s="3"/>
      <c r="F548" s="6">
        <v>45991</v>
      </c>
      <c r="G548" s="7">
        <v>0</v>
      </c>
    </row>
    <row r="549" spans="1:9" x14ac:dyDescent="0.3">
      <c r="A549" s="2"/>
      <c r="B549" s="3" t="s">
        <v>553</v>
      </c>
      <c r="C549" s="3" t="s">
        <v>254</v>
      </c>
      <c r="D549" s="3" t="s">
        <v>262</v>
      </c>
      <c r="E549" s="3" t="s">
        <v>263</v>
      </c>
      <c r="F549" s="6">
        <v>45991</v>
      </c>
      <c r="G549" s="7">
        <v>257069.16</v>
      </c>
      <c r="H549" t="s">
        <v>232</v>
      </c>
      <c r="I549" t="s">
        <v>137</v>
      </c>
    </row>
    <row r="550" spans="1:9" x14ac:dyDescent="0.3">
      <c r="A550" s="2"/>
      <c r="B550" s="3" t="s">
        <v>554</v>
      </c>
      <c r="C550" s="3" t="s">
        <v>254</v>
      </c>
      <c r="D550" s="3" t="s">
        <v>262</v>
      </c>
      <c r="E550" s="3" t="s">
        <v>263</v>
      </c>
      <c r="F550" s="6">
        <v>45991</v>
      </c>
      <c r="G550" s="7">
        <v>15000</v>
      </c>
      <c r="H550" t="s">
        <v>232</v>
      </c>
      <c r="I550" t="s">
        <v>137</v>
      </c>
    </row>
    <row r="551" spans="1:9" x14ac:dyDescent="0.3">
      <c r="A551" s="2"/>
      <c r="B551" s="3" t="s">
        <v>139</v>
      </c>
      <c r="C551" s="3"/>
      <c r="D551" s="3"/>
      <c r="E551" s="3"/>
      <c r="F551" s="6">
        <v>45991</v>
      </c>
      <c r="G551" s="7">
        <v>272069.15999999997</v>
      </c>
    </row>
    <row r="552" spans="1:9" x14ac:dyDescent="0.3">
      <c r="A552" s="2"/>
      <c r="B552" s="3" t="s">
        <v>140</v>
      </c>
      <c r="C552" s="3"/>
      <c r="D552" s="3"/>
      <c r="E552" s="3"/>
      <c r="F552" s="6">
        <v>45991</v>
      </c>
      <c r="G552" s="7">
        <v>0</v>
      </c>
    </row>
    <row r="553" spans="1:9" x14ac:dyDescent="0.3">
      <c r="A553" s="2"/>
      <c r="B553" s="3" t="s">
        <v>141</v>
      </c>
      <c r="C553" s="3" t="s">
        <v>140</v>
      </c>
      <c r="D553" s="3" t="s">
        <v>264</v>
      </c>
      <c r="E553" s="3" t="s">
        <v>263</v>
      </c>
      <c r="F553" s="6">
        <v>45991</v>
      </c>
      <c r="G553" s="7">
        <v>210328.93</v>
      </c>
      <c r="H553" t="s">
        <v>233</v>
      </c>
      <c r="I553" t="s">
        <v>137</v>
      </c>
    </row>
    <row r="554" spans="1:9" x14ac:dyDescent="0.3">
      <c r="A554" s="2"/>
      <c r="B554" s="3" t="s">
        <v>142</v>
      </c>
      <c r="C554" s="3"/>
      <c r="D554" s="3"/>
      <c r="E554" s="3"/>
      <c r="F554" s="6">
        <v>45991</v>
      </c>
      <c r="G554" s="7">
        <v>210328.93</v>
      </c>
    </row>
    <row r="555" spans="1:9" x14ac:dyDescent="0.3">
      <c r="A555" s="2"/>
      <c r="B555" s="3" t="s">
        <v>143</v>
      </c>
      <c r="C555" s="3" t="s">
        <v>255</v>
      </c>
      <c r="D555" s="3" t="s">
        <v>265</v>
      </c>
      <c r="E555" s="3" t="s">
        <v>263</v>
      </c>
      <c r="F555" s="6">
        <v>45991</v>
      </c>
      <c r="G555" s="7">
        <v>0</v>
      </c>
    </row>
    <row r="556" spans="1:9" x14ac:dyDescent="0.3">
      <c r="A556" s="2"/>
      <c r="B556" s="3" t="s">
        <v>144</v>
      </c>
      <c r="C556" s="3" t="s">
        <v>255</v>
      </c>
      <c r="D556" s="3" t="s">
        <v>265</v>
      </c>
      <c r="E556" s="3" t="s">
        <v>263</v>
      </c>
      <c r="F556" s="6">
        <v>45991</v>
      </c>
      <c r="G556" s="7">
        <v>519.15</v>
      </c>
      <c r="H556" t="s">
        <v>143</v>
      </c>
      <c r="I556" t="s">
        <v>137</v>
      </c>
    </row>
    <row r="557" spans="1:9" x14ac:dyDescent="0.3">
      <c r="A557" s="2"/>
      <c r="B557" s="3" t="s">
        <v>146</v>
      </c>
      <c r="C557" s="3" t="s">
        <v>255</v>
      </c>
      <c r="D557" s="3" t="s">
        <v>266</v>
      </c>
      <c r="E557" s="3" t="s">
        <v>263</v>
      </c>
      <c r="F557" s="6">
        <v>45991</v>
      </c>
      <c r="G557" s="7">
        <v>0</v>
      </c>
      <c r="H557" t="s">
        <v>143</v>
      </c>
      <c r="I557" t="s">
        <v>137</v>
      </c>
    </row>
    <row r="558" spans="1:9" x14ac:dyDescent="0.3">
      <c r="A558" s="2"/>
      <c r="B558" s="3" t="s">
        <v>562</v>
      </c>
      <c r="C558" s="3" t="s">
        <v>255</v>
      </c>
      <c r="D558" s="3" t="s">
        <v>266</v>
      </c>
      <c r="E558" s="3" t="s">
        <v>263</v>
      </c>
      <c r="F558" s="6">
        <v>45991</v>
      </c>
      <c r="G558" s="7">
        <v>8120</v>
      </c>
      <c r="H558" t="s">
        <v>143</v>
      </c>
      <c r="I558" t="s">
        <v>137</v>
      </c>
    </row>
    <row r="559" spans="1:9" x14ac:dyDescent="0.3">
      <c r="A559" s="2"/>
      <c r="B559" s="3" t="s">
        <v>149</v>
      </c>
      <c r="C559" s="3"/>
      <c r="D559" s="3"/>
      <c r="E559" s="3"/>
      <c r="F559" s="6">
        <v>45991</v>
      </c>
      <c r="G559" s="7">
        <v>8120</v>
      </c>
    </row>
    <row r="560" spans="1:9" x14ac:dyDescent="0.3">
      <c r="A560" s="2"/>
      <c r="B560" s="3" t="s">
        <v>150</v>
      </c>
      <c r="C560" s="3" t="s">
        <v>255</v>
      </c>
      <c r="D560" s="3" t="s">
        <v>265</v>
      </c>
      <c r="E560" s="3" t="s">
        <v>263</v>
      </c>
      <c r="F560" s="6">
        <v>45991</v>
      </c>
      <c r="G560" s="7">
        <v>0</v>
      </c>
      <c r="H560" t="s">
        <v>143</v>
      </c>
      <c r="I560" t="s">
        <v>137</v>
      </c>
    </row>
    <row r="561" spans="1:9" x14ac:dyDescent="0.3">
      <c r="A561" s="2"/>
      <c r="B561" s="3" t="s">
        <v>151</v>
      </c>
      <c r="C561" s="3" t="s">
        <v>255</v>
      </c>
      <c r="D561" s="3" t="s">
        <v>267</v>
      </c>
      <c r="E561" s="3" t="s">
        <v>263</v>
      </c>
      <c r="F561" s="6">
        <v>45991</v>
      </c>
      <c r="G561" s="7">
        <v>0</v>
      </c>
      <c r="H561" t="s">
        <v>143</v>
      </c>
      <c r="I561" t="s">
        <v>137</v>
      </c>
    </row>
    <row r="562" spans="1:9" x14ac:dyDescent="0.3">
      <c r="A562" s="2"/>
      <c r="B562" s="3" t="s">
        <v>152</v>
      </c>
      <c r="C562" s="3"/>
      <c r="D562" s="3"/>
      <c r="E562" s="3"/>
      <c r="F562" s="6">
        <v>45991</v>
      </c>
      <c r="G562" s="7">
        <v>8639.15</v>
      </c>
    </row>
    <row r="563" spans="1:9" x14ac:dyDescent="0.3">
      <c r="A563" s="2"/>
      <c r="B563" s="3" t="s">
        <v>153</v>
      </c>
      <c r="C563" s="3"/>
      <c r="D563" s="3"/>
      <c r="E563" s="3"/>
      <c r="F563" s="6">
        <v>45991</v>
      </c>
      <c r="G563" s="7">
        <v>491037.24</v>
      </c>
    </row>
    <row r="564" spans="1:9" x14ac:dyDescent="0.3">
      <c r="A564" s="2"/>
      <c r="B564" s="3" t="s">
        <v>154</v>
      </c>
      <c r="C564" s="3"/>
      <c r="D564" s="3"/>
      <c r="E564" s="3"/>
      <c r="F564" s="6">
        <v>45991</v>
      </c>
      <c r="G564" s="7">
        <v>0</v>
      </c>
    </row>
    <row r="565" spans="1:9" x14ac:dyDescent="0.3">
      <c r="A565" s="2"/>
      <c r="B565" s="3" t="s">
        <v>155</v>
      </c>
      <c r="C565" s="3" t="s">
        <v>268</v>
      </c>
      <c r="D565" s="3" t="s">
        <v>269</v>
      </c>
      <c r="E565" s="3" t="s">
        <v>263</v>
      </c>
      <c r="F565" s="6">
        <v>45991</v>
      </c>
      <c r="G565" s="7">
        <v>0</v>
      </c>
      <c r="H565" t="s">
        <v>235</v>
      </c>
      <c r="I565" t="s">
        <v>234</v>
      </c>
    </row>
    <row r="566" spans="1:9" x14ac:dyDescent="0.3">
      <c r="A566" s="2"/>
      <c r="B566" s="3" t="s">
        <v>542</v>
      </c>
      <c r="C566" s="3" t="s">
        <v>268</v>
      </c>
      <c r="D566" s="3" t="s">
        <v>269</v>
      </c>
      <c r="E566" s="3" t="s">
        <v>263</v>
      </c>
      <c r="F566" s="6">
        <v>45991</v>
      </c>
      <c r="G566" s="7">
        <v>100000</v>
      </c>
      <c r="H566" t="s">
        <v>235</v>
      </c>
      <c r="I566" t="s">
        <v>234</v>
      </c>
    </row>
    <row r="567" spans="1:9" x14ac:dyDescent="0.3">
      <c r="A567" s="2"/>
      <c r="B567" s="3" t="s">
        <v>156</v>
      </c>
      <c r="C567" s="3"/>
      <c r="D567" s="3"/>
      <c r="E567" s="3"/>
      <c r="F567" s="6">
        <v>45991</v>
      </c>
      <c r="G567" s="7">
        <v>100000</v>
      </c>
    </row>
    <row r="568" spans="1:9" x14ac:dyDescent="0.3">
      <c r="A568" s="2"/>
      <c r="B568" s="3" t="s">
        <v>157</v>
      </c>
      <c r="C568" s="3"/>
      <c r="D568" s="3"/>
      <c r="E568" s="3"/>
      <c r="F568" s="6">
        <v>45991</v>
      </c>
      <c r="G568" s="7">
        <v>100000</v>
      </c>
    </row>
    <row r="569" spans="1:9" x14ac:dyDescent="0.3">
      <c r="A569" s="2"/>
      <c r="B569" s="3" t="s">
        <v>158</v>
      </c>
      <c r="C569" s="3"/>
      <c r="D569" s="3"/>
      <c r="E569" s="3"/>
      <c r="F569" s="6">
        <v>45991</v>
      </c>
      <c r="G569" s="7">
        <v>591037.24</v>
      </c>
    </row>
    <row r="570" spans="1:9" x14ac:dyDescent="0.3">
      <c r="A570" s="2"/>
      <c r="B570" s="3" t="s">
        <v>159</v>
      </c>
      <c r="C570" s="3"/>
      <c r="D570" s="3"/>
      <c r="E570" s="3"/>
      <c r="F570" s="6">
        <v>45991</v>
      </c>
      <c r="G570" s="7">
        <v>0</v>
      </c>
    </row>
    <row r="571" spans="1:9" x14ac:dyDescent="0.3">
      <c r="A571" s="2"/>
      <c r="B571" s="3" t="s">
        <v>160</v>
      </c>
      <c r="C571" s="3"/>
      <c r="D571" s="3"/>
      <c r="E571" s="3"/>
      <c r="F571" s="6">
        <v>45991</v>
      </c>
      <c r="G571" s="7">
        <v>0</v>
      </c>
    </row>
    <row r="572" spans="1:9" x14ac:dyDescent="0.3">
      <c r="A572" s="2"/>
      <c r="B572" s="3" t="s">
        <v>161</v>
      </c>
      <c r="C572" s="3"/>
      <c r="D572" s="3"/>
      <c r="E572" s="3"/>
      <c r="F572" s="6">
        <v>45991</v>
      </c>
      <c r="G572" s="7">
        <v>0</v>
      </c>
    </row>
    <row r="573" spans="1:9" x14ac:dyDescent="0.3">
      <c r="A573" s="2"/>
      <c r="B573" s="3" t="s">
        <v>162</v>
      </c>
      <c r="C573" s="3"/>
      <c r="D573" s="3"/>
      <c r="E573" s="3"/>
      <c r="F573" s="6">
        <v>45991</v>
      </c>
      <c r="G573" s="7">
        <v>0</v>
      </c>
    </row>
    <row r="574" spans="1:9" x14ac:dyDescent="0.3">
      <c r="A574" s="2"/>
      <c r="B574" s="3" t="s">
        <v>163</v>
      </c>
      <c r="C574" s="3" t="s">
        <v>162</v>
      </c>
      <c r="D574" s="3" t="s">
        <v>270</v>
      </c>
      <c r="E574" s="3" t="s">
        <v>271</v>
      </c>
      <c r="F574" s="6">
        <v>45991</v>
      </c>
      <c r="G574" s="7">
        <v>7000.75</v>
      </c>
      <c r="H574" t="s">
        <v>162</v>
      </c>
      <c r="I574" t="s">
        <v>161</v>
      </c>
    </row>
    <row r="575" spans="1:9" x14ac:dyDescent="0.3">
      <c r="A575" s="2"/>
      <c r="B575" s="3" t="s">
        <v>164</v>
      </c>
      <c r="C575" s="3"/>
      <c r="D575" s="3"/>
      <c r="E575" s="3"/>
      <c r="F575" s="6">
        <v>45991</v>
      </c>
      <c r="G575" s="7">
        <v>7000.75</v>
      </c>
    </row>
    <row r="576" spans="1:9" x14ac:dyDescent="0.3">
      <c r="A576" s="2"/>
      <c r="B576" s="3" t="s">
        <v>165</v>
      </c>
      <c r="C576" s="3" t="s">
        <v>256</v>
      </c>
      <c r="D576" s="3" t="s">
        <v>272</v>
      </c>
      <c r="E576" s="3" t="s">
        <v>271</v>
      </c>
      <c r="F576" s="6">
        <v>45991</v>
      </c>
      <c r="G576" s="7">
        <v>0</v>
      </c>
    </row>
    <row r="577" spans="1:9" x14ac:dyDescent="0.3">
      <c r="A577" s="2"/>
      <c r="B577" s="3" t="s">
        <v>545</v>
      </c>
      <c r="C577" s="3" t="s">
        <v>256</v>
      </c>
      <c r="D577" s="3" t="s">
        <v>272</v>
      </c>
      <c r="E577" s="3" t="s">
        <v>271</v>
      </c>
      <c r="F577" s="6">
        <v>45991</v>
      </c>
      <c r="G577" s="7">
        <v>7834.22</v>
      </c>
      <c r="H577" t="s">
        <v>162</v>
      </c>
      <c r="I577" t="s">
        <v>161</v>
      </c>
    </row>
    <row r="578" spans="1:9" x14ac:dyDescent="0.3">
      <c r="A578" s="2"/>
      <c r="B578" s="3" t="s">
        <v>546</v>
      </c>
      <c r="C578" s="3" t="s">
        <v>256</v>
      </c>
      <c r="D578" s="3" t="s">
        <v>272</v>
      </c>
      <c r="E578" s="3" t="s">
        <v>271</v>
      </c>
      <c r="F578" s="6">
        <v>45991</v>
      </c>
      <c r="G578" s="7">
        <v>0</v>
      </c>
      <c r="H578" t="s">
        <v>162</v>
      </c>
      <c r="I578" t="s">
        <v>161</v>
      </c>
    </row>
    <row r="579" spans="1:9" x14ac:dyDescent="0.3">
      <c r="A579" s="2"/>
      <c r="B579" s="3" t="s">
        <v>547</v>
      </c>
      <c r="C579" s="3" t="s">
        <v>256</v>
      </c>
      <c r="D579" s="3" t="s">
        <v>272</v>
      </c>
      <c r="E579" s="3" t="s">
        <v>271</v>
      </c>
      <c r="F579" s="6">
        <v>45991</v>
      </c>
      <c r="G579" s="7">
        <v>95</v>
      </c>
      <c r="H579" t="s">
        <v>162</v>
      </c>
      <c r="I579" t="s">
        <v>161</v>
      </c>
    </row>
    <row r="580" spans="1:9" x14ac:dyDescent="0.3">
      <c r="A580" s="2"/>
      <c r="B580" s="3" t="s">
        <v>166</v>
      </c>
      <c r="C580" s="3"/>
      <c r="D580" s="3"/>
      <c r="E580" s="3"/>
      <c r="F580" s="6">
        <v>45991</v>
      </c>
      <c r="G580" s="7">
        <v>7929.22</v>
      </c>
    </row>
    <row r="581" spans="1:9" x14ac:dyDescent="0.3">
      <c r="A581" s="2"/>
      <c r="B581" s="3" t="s">
        <v>167</v>
      </c>
      <c r="C581" s="3"/>
      <c r="D581" s="3"/>
      <c r="E581" s="3"/>
      <c r="F581" s="6">
        <v>45991</v>
      </c>
      <c r="G581" s="7">
        <v>0</v>
      </c>
    </row>
    <row r="582" spans="1:9" x14ac:dyDescent="0.3">
      <c r="A582" s="2"/>
      <c r="B582" s="3" t="s">
        <v>173</v>
      </c>
      <c r="C582" s="3" t="s">
        <v>257</v>
      </c>
      <c r="D582" s="3" t="s">
        <v>273</v>
      </c>
      <c r="E582" s="3" t="s">
        <v>271</v>
      </c>
      <c r="F582" s="6">
        <v>45991</v>
      </c>
      <c r="G582" s="7">
        <v>91957.39</v>
      </c>
      <c r="H582" t="s">
        <v>237</v>
      </c>
      <c r="I582" t="s">
        <v>161</v>
      </c>
    </row>
    <row r="583" spans="1:9" x14ac:dyDescent="0.3">
      <c r="A583" s="2"/>
      <c r="B583" s="3" t="s">
        <v>174</v>
      </c>
      <c r="C583" s="3" t="s">
        <v>257</v>
      </c>
      <c r="D583" s="3" t="s">
        <v>273</v>
      </c>
      <c r="E583" s="3" t="s">
        <v>271</v>
      </c>
      <c r="F583" s="6">
        <v>45991</v>
      </c>
      <c r="G583" s="7">
        <v>7250</v>
      </c>
      <c r="H583" t="s">
        <v>167</v>
      </c>
      <c r="I583" t="s">
        <v>161</v>
      </c>
    </row>
    <row r="584" spans="1:9" x14ac:dyDescent="0.3">
      <c r="A584" s="2"/>
      <c r="B584" s="3" t="s">
        <v>175</v>
      </c>
      <c r="C584" s="3"/>
      <c r="D584" s="3"/>
      <c r="E584" s="3"/>
      <c r="F584" s="6">
        <v>45991</v>
      </c>
      <c r="G584" s="7">
        <v>99207.39</v>
      </c>
    </row>
    <row r="585" spans="1:9" x14ac:dyDescent="0.3">
      <c r="A585" s="2"/>
      <c r="B585" s="3" t="s">
        <v>176</v>
      </c>
      <c r="C585" s="3"/>
      <c r="D585" s="3"/>
      <c r="E585" s="3"/>
      <c r="F585" s="6">
        <v>45991</v>
      </c>
      <c r="G585" s="7">
        <v>114137.36</v>
      </c>
    </row>
    <row r="586" spans="1:9" x14ac:dyDescent="0.3">
      <c r="A586" s="2"/>
      <c r="B586" s="3" t="s">
        <v>177</v>
      </c>
      <c r="C586" s="3"/>
      <c r="D586" s="3"/>
      <c r="E586" s="3"/>
      <c r="F586" s="6">
        <v>45991</v>
      </c>
      <c r="G586" s="7">
        <v>0</v>
      </c>
    </row>
    <row r="587" spans="1:9" x14ac:dyDescent="0.3">
      <c r="A587" s="2"/>
      <c r="B587" s="3" t="s">
        <v>178</v>
      </c>
      <c r="C587" s="3" t="s">
        <v>274</v>
      </c>
      <c r="D587" s="3" t="s">
        <v>275</v>
      </c>
      <c r="E587" s="3" t="s">
        <v>271</v>
      </c>
      <c r="F587" s="6">
        <v>45991</v>
      </c>
      <c r="G587" s="7">
        <v>90000</v>
      </c>
      <c r="H587" t="s">
        <v>239</v>
      </c>
      <c r="I587" t="s">
        <v>177</v>
      </c>
    </row>
    <row r="588" spans="1:9" x14ac:dyDescent="0.3">
      <c r="A588" s="2"/>
      <c r="B588" s="3" t="s">
        <v>179</v>
      </c>
      <c r="C588" s="3"/>
      <c r="D588" s="3"/>
      <c r="E588" s="3"/>
      <c r="F588" s="6">
        <v>45991</v>
      </c>
      <c r="G588" s="7">
        <v>90000</v>
      </c>
    </row>
    <row r="589" spans="1:9" x14ac:dyDescent="0.3">
      <c r="A589" s="2"/>
      <c r="B589" s="3" t="s">
        <v>14</v>
      </c>
      <c r="C589" s="3"/>
      <c r="D589" s="3"/>
      <c r="E589" s="3"/>
      <c r="F589" s="6">
        <v>45991</v>
      </c>
      <c r="G589" s="7">
        <v>204137.36</v>
      </c>
    </row>
    <row r="590" spans="1:9" x14ac:dyDescent="0.3">
      <c r="A590" s="2"/>
      <c r="B590" s="3" t="s">
        <v>180</v>
      </c>
      <c r="C590" s="3"/>
      <c r="D590" s="3"/>
      <c r="E590" s="3"/>
      <c r="F590" s="6">
        <v>45991</v>
      </c>
      <c r="G590" s="7">
        <v>0</v>
      </c>
    </row>
    <row r="591" spans="1:9" x14ac:dyDescent="0.3">
      <c r="A591" s="2"/>
      <c r="B591" s="3" t="s">
        <v>181</v>
      </c>
      <c r="C591" s="3" t="s">
        <v>180</v>
      </c>
      <c r="D591" s="3" t="s">
        <v>276</v>
      </c>
      <c r="E591" s="3" t="s">
        <v>180</v>
      </c>
      <c r="F591" s="6">
        <v>45991</v>
      </c>
      <c r="G591" s="7">
        <v>0</v>
      </c>
      <c r="H591" t="s">
        <v>240</v>
      </c>
      <c r="I591" t="s">
        <v>180</v>
      </c>
    </row>
    <row r="592" spans="1:9" x14ac:dyDescent="0.3">
      <c r="A592" s="2"/>
      <c r="B592" s="3" t="s">
        <v>563</v>
      </c>
      <c r="C592" s="3" t="s">
        <v>180</v>
      </c>
      <c r="D592" s="3" t="s">
        <v>277</v>
      </c>
      <c r="E592" s="3" t="s">
        <v>180</v>
      </c>
      <c r="F592" s="6">
        <v>45991</v>
      </c>
      <c r="G592" s="7">
        <v>0</v>
      </c>
      <c r="H592" t="s">
        <v>240</v>
      </c>
      <c r="I592" t="s">
        <v>180</v>
      </c>
    </row>
    <row r="593" spans="1:9" x14ac:dyDescent="0.3">
      <c r="A593" s="2"/>
      <c r="B593" s="3" t="s">
        <v>564</v>
      </c>
      <c r="C593" s="3" t="s">
        <v>180</v>
      </c>
      <c r="D593" s="3" t="s">
        <v>278</v>
      </c>
      <c r="E593" s="3" t="s">
        <v>180</v>
      </c>
      <c r="F593" s="6">
        <v>45991</v>
      </c>
      <c r="G593" s="7">
        <v>-77174.179999999993</v>
      </c>
      <c r="H593" t="s">
        <v>240</v>
      </c>
      <c r="I593" t="s">
        <v>180</v>
      </c>
    </row>
    <row r="594" spans="1:9" x14ac:dyDescent="0.3">
      <c r="A594" s="2"/>
      <c r="B594" s="3" t="s">
        <v>565</v>
      </c>
      <c r="C594" s="3"/>
      <c r="D594" s="3"/>
      <c r="E594" s="3"/>
      <c r="F594" s="6">
        <v>45991</v>
      </c>
      <c r="G594" s="7">
        <v>-77174.179999999993</v>
      </c>
    </row>
    <row r="595" spans="1:9" x14ac:dyDescent="0.3">
      <c r="A595" s="2"/>
      <c r="B595" s="3" t="s">
        <v>566</v>
      </c>
      <c r="C595" s="3" t="s">
        <v>180</v>
      </c>
      <c r="D595" s="3" t="s">
        <v>277</v>
      </c>
      <c r="E595" s="3" t="s">
        <v>180</v>
      </c>
      <c r="F595" s="6">
        <v>45991</v>
      </c>
      <c r="G595" s="7">
        <v>0</v>
      </c>
      <c r="H595" t="s">
        <v>240</v>
      </c>
      <c r="I595" t="s">
        <v>180</v>
      </c>
    </row>
    <row r="596" spans="1:9" x14ac:dyDescent="0.3">
      <c r="A596" s="2"/>
      <c r="B596" s="3" t="s">
        <v>183</v>
      </c>
      <c r="C596" s="3" t="s">
        <v>180</v>
      </c>
      <c r="D596" s="3" t="s">
        <v>280</v>
      </c>
      <c r="E596" s="3" t="s">
        <v>180</v>
      </c>
      <c r="F596" s="6">
        <v>45991</v>
      </c>
      <c r="G596" s="7">
        <v>-75000</v>
      </c>
      <c r="H596" t="s">
        <v>240</v>
      </c>
      <c r="I596" t="s">
        <v>180</v>
      </c>
    </row>
    <row r="597" spans="1:9" x14ac:dyDescent="0.3">
      <c r="A597" s="2"/>
      <c r="B597" s="3" t="s">
        <v>567</v>
      </c>
      <c r="C597" s="3"/>
      <c r="D597" s="3"/>
      <c r="E597" s="3"/>
      <c r="F597" s="6">
        <v>45991</v>
      </c>
      <c r="G597" s="7">
        <v>-75000</v>
      </c>
    </row>
    <row r="598" spans="1:9" x14ac:dyDescent="0.3">
      <c r="A598" s="2"/>
      <c r="B598" s="3" t="s">
        <v>185</v>
      </c>
      <c r="C598" s="3" t="s">
        <v>180</v>
      </c>
      <c r="D598" s="3" t="s">
        <v>279</v>
      </c>
      <c r="E598" s="3" t="s">
        <v>180</v>
      </c>
      <c r="F598" s="6">
        <v>45991</v>
      </c>
      <c r="G598" s="7">
        <v>406280.27</v>
      </c>
      <c r="H598" t="s">
        <v>240</v>
      </c>
      <c r="I598" t="s">
        <v>180</v>
      </c>
    </row>
    <row r="599" spans="1:9" x14ac:dyDescent="0.3">
      <c r="A599" s="2"/>
      <c r="B599" s="3" t="s">
        <v>186</v>
      </c>
      <c r="C599" s="3" t="s">
        <v>180</v>
      </c>
      <c r="D599" s="3" t="s">
        <v>278</v>
      </c>
      <c r="E599" s="3" t="s">
        <v>180</v>
      </c>
      <c r="F599" s="6">
        <v>45991</v>
      </c>
      <c r="G599" s="7">
        <v>0</v>
      </c>
    </row>
    <row r="600" spans="1:9" x14ac:dyDescent="0.3">
      <c r="A600" s="2"/>
      <c r="B600" s="3" t="s">
        <v>12</v>
      </c>
      <c r="C600" s="3" t="s">
        <v>180</v>
      </c>
      <c r="D600" s="3"/>
      <c r="E600" s="3" t="s">
        <v>180</v>
      </c>
      <c r="F600" s="6">
        <v>45991</v>
      </c>
      <c r="G600" s="7">
        <v>132793.79</v>
      </c>
    </row>
    <row r="601" spans="1:9" x14ac:dyDescent="0.3">
      <c r="A601" s="2"/>
      <c r="B601" s="3" t="s">
        <v>15</v>
      </c>
      <c r="C601" s="3"/>
      <c r="D601" s="3"/>
      <c r="E601" s="3"/>
      <c r="F601" s="6">
        <v>45991</v>
      </c>
      <c r="G601" s="7">
        <v>386899.88</v>
      </c>
    </row>
    <row r="602" spans="1:9" x14ac:dyDescent="0.3">
      <c r="A602" s="2"/>
      <c r="B602" s="3" t="s">
        <v>187</v>
      </c>
      <c r="C602" s="3"/>
      <c r="D602" s="3"/>
      <c r="E602" s="3"/>
      <c r="F602" s="6">
        <v>45991</v>
      </c>
      <c r="G602" s="7">
        <v>591037.24</v>
      </c>
    </row>
    <row r="603" spans="1:9" x14ac:dyDescent="0.3">
      <c r="A603" s="2"/>
      <c r="B603" s="3" t="s">
        <v>136</v>
      </c>
      <c r="C603" s="3"/>
      <c r="D603" s="3"/>
      <c r="E603" s="3"/>
      <c r="F603" s="6">
        <v>46022</v>
      </c>
      <c r="G603" s="7">
        <v>0</v>
      </c>
    </row>
    <row r="604" spans="1:9" x14ac:dyDescent="0.3">
      <c r="A604" s="2"/>
      <c r="B604" s="3" t="s">
        <v>137</v>
      </c>
      <c r="C604" s="3"/>
      <c r="D604" s="3"/>
      <c r="E604" s="3"/>
      <c r="F604" s="6">
        <v>46022</v>
      </c>
      <c r="G604" s="7">
        <v>0</v>
      </c>
    </row>
    <row r="605" spans="1:9" x14ac:dyDescent="0.3">
      <c r="A605" s="2"/>
      <c r="B605" s="3" t="s">
        <v>138</v>
      </c>
      <c r="C605" s="3"/>
      <c r="D605" s="3"/>
      <c r="E605" s="3"/>
      <c r="F605" s="6">
        <v>46022</v>
      </c>
      <c r="G605" s="7">
        <v>0</v>
      </c>
    </row>
    <row r="606" spans="1:9" x14ac:dyDescent="0.3">
      <c r="A606" s="2"/>
      <c r="B606" s="3" t="s">
        <v>553</v>
      </c>
      <c r="C606" s="3" t="s">
        <v>254</v>
      </c>
      <c r="D606" s="3" t="s">
        <v>262</v>
      </c>
      <c r="E606" s="3" t="s">
        <v>263</v>
      </c>
      <c r="F606" s="6">
        <v>46022</v>
      </c>
      <c r="G606" s="7">
        <v>274475.78999999998</v>
      </c>
      <c r="H606" t="s">
        <v>232</v>
      </c>
      <c r="I606" t="s">
        <v>137</v>
      </c>
    </row>
    <row r="607" spans="1:9" x14ac:dyDescent="0.3">
      <c r="A607" s="2"/>
      <c r="B607" s="3" t="s">
        <v>554</v>
      </c>
      <c r="C607" s="3" t="s">
        <v>254</v>
      </c>
      <c r="D607" s="3" t="s">
        <v>262</v>
      </c>
      <c r="E607" s="3" t="s">
        <v>263</v>
      </c>
      <c r="F607" s="6">
        <v>46022</v>
      </c>
      <c r="G607" s="7">
        <v>15000</v>
      </c>
      <c r="H607" t="s">
        <v>232</v>
      </c>
      <c r="I607" t="s">
        <v>137</v>
      </c>
    </row>
    <row r="608" spans="1:9" x14ac:dyDescent="0.3">
      <c r="A608" s="2"/>
      <c r="B608" s="3" t="s">
        <v>139</v>
      </c>
      <c r="C608" s="3"/>
      <c r="D608" s="3"/>
      <c r="E608" s="3"/>
      <c r="F608" s="6">
        <v>46022</v>
      </c>
      <c r="G608" s="7">
        <v>289475.78999999998</v>
      </c>
    </row>
    <row r="609" spans="1:9" x14ac:dyDescent="0.3">
      <c r="A609" s="2"/>
      <c r="B609" s="3" t="s">
        <v>140</v>
      </c>
      <c r="C609" s="3"/>
      <c r="D609" s="3"/>
      <c r="E609" s="3"/>
      <c r="F609" s="6">
        <v>46022</v>
      </c>
      <c r="G609" s="7">
        <v>0</v>
      </c>
    </row>
    <row r="610" spans="1:9" x14ac:dyDescent="0.3">
      <c r="A610" s="2"/>
      <c r="B610" s="3" t="s">
        <v>141</v>
      </c>
      <c r="C610" s="3" t="s">
        <v>140</v>
      </c>
      <c r="D610" s="3" t="s">
        <v>264</v>
      </c>
      <c r="E610" s="3" t="s">
        <v>263</v>
      </c>
      <c r="F610" s="6">
        <v>46022</v>
      </c>
      <c r="G610" s="7">
        <v>98795.38</v>
      </c>
      <c r="H610" t="s">
        <v>233</v>
      </c>
      <c r="I610" t="s">
        <v>137</v>
      </c>
    </row>
    <row r="611" spans="1:9" x14ac:dyDescent="0.3">
      <c r="A611" s="2"/>
      <c r="B611" s="3" t="s">
        <v>142</v>
      </c>
      <c r="C611" s="3"/>
      <c r="D611" s="3"/>
      <c r="E611" s="3"/>
      <c r="F611" s="6">
        <v>46022</v>
      </c>
      <c r="G611" s="7">
        <v>98795.38</v>
      </c>
    </row>
    <row r="612" spans="1:9" x14ac:dyDescent="0.3">
      <c r="A612" s="2"/>
      <c r="B612" s="3" t="s">
        <v>143</v>
      </c>
      <c r="C612" s="3" t="s">
        <v>255</v>
      </c>
      <c r="D612" s="3" t="s">
        <v>265</v>
      </c>
      <c r="E612" s="3" t="s">
        <v>263</v>
      </c>
      <c r="F612" s="6">
        <v>46022</v>
      </c>
      <c r="G612" s="7">
        <v>0</v>
      </c>
    </row>
    <row r="613" spans="1:9" x14ac:dyDescent="0.3">
      <c r="A613" s="2"/>
      <c r="B613" s="3" t="s">
        <v>144</v>
      </c>
      <c r="C613" s="3" t="s">
        <v>255</v>
      </c>
      <c r="D613" s="3" t="s">
        <v>265</v>
      </c>
      <c r="E613" s="3" t="s">
        <v>263</v>
      </c>
      <c r="F613" s="6">
        <v>46022</v>
      </c>
      <c r="G613" s="7">
        <v>519.15</v>
      </c>
      <c r="H613" t="s">
        <v>143</v>
      </c>
      <c r="I613" t="s">
        <v>137</v>
      </c>
    </row>
    <row r="614" spans="1:9" x14ac:dyDescent="0.3">
      <c r="A614" s="2"/>
      <c r="B614" s="3" t="s">
        <v>146</v>
      </c>
      <c r="C614" s="3" t="s">
        <v>255</v>
      </c>
      <c r="D614" s="3" t="s">
        <v>266</v>
      </c>
      <c r="E614" s="3" t="s">
        <v>263</v>
      </c>
      <c r="F614" s="6">
        <v>46022</v>
      </c>
      <c r="G614" s="7">
        <v>0</v>
      </c>
      <c r="H614" t="s">
        <v>143</v>
      </c>
      <c r="I614" t="s">
        <v>137</v>
      </c>
    </row>
    <row r="615" spans="1:9" x14ac:dyDescent="0.3">
      <c r="A615" s="2"/>
      <c r="B615" s="3" t="s">
        <v>147</v>
      </c>
      <c r="C615" s="3" t="s">
        <v>255</v>
      </c>
      <c r="D615" s="3" t="s">
        <v>265</v>
      </c>
      <c r="E615" s="3" t="s">
        <v>263</v>
      </c>
      <c r="F615" s="6">
        <v>46022</v>
      </c>
      <c r="G615" s="7">
        <v>8563.26</v>
      </c>
      <c r="H615" t="s">
        <v>143</v>
      </c>
      <c r="I615" t="s">
        <v>137</v>
      </c>
    </row>
    <row r="616" spans="1:9" x14ac:dyDescent="0.3">
      <c r="A616" s="2"/>
      <c r="B616" s="3" t="s">
        <v>562</v>
      </c>
      <c r="C616" s="3" t="s">
        <v>255</v>
      </c>
      <c r="D616" s="3" t="s">
        <v>266</v>
      </c>
      <c r="E616" s="3" t="s">
        <v>263</v>
      </c>
      <c r="F616" s="6">
        <v>46022</v>
      </c>
      <c r="G616" s="7">
        <v>6059.36</v>
      </c>
      <c r="H616" t="s">
        <v>143</v>
      </c>
      <c r="I616" t="s">
        <v>137</v>
      </c>
    </row>
    <row r="617" spans="1:9" x14ac:dyDescent="0.3">
      <c r="A617" s="2"/>
      <c r="B617" s="3" t="s">
        <v>149</v>
      </c>
      <c r="C617" s="3"/>
      <c r="D617" s="3"/>
      <c r="E617" s="3"/>
      <c r="F617" s="6">
        <v>46022</v>
      </c>
      <c r="G617" s="7">
        <v>14622.62</v>
      </c>
    </row>
    <row r="618" spans="1:9" x14ac:dyDescent="0.3">
      <c r="A618" s="2"/>
      <c r="B618" s="3" t="s">
        <v>150</v>
      </c>
      <c r="C618" s="3" t="s">
        <v>255</v>
      </c>
      <c r="D618" s="3" t="s">
        <v>265</v>
      </c>
      <c r="E618" s="3" t="s">
        <v>263</v>
      </c>
      <c r="F618" s="6">
        <v>46022</v>
      </c>
      <c r="G618" s="7">
        <v>0</v>
      </c>
      <c r="H618" t="s">
        <v>143</v>
      </c>
      <c r="I618" t="s">
        <v>137</v>
      </c>
    </row>
    <row r="619" spans="1:9" x14ac:dyDescent="0.3">
      <c r="A619" s="2"/>
      <c r="B619" s="3" t="s">
        <v>151</v>
      </c>
      <c r="C619" s="3" t="s">
        <v>255</v>
      </c>
      <c r="D619" s="3" t="s">
        <v>267</v>
      </c>
      <c r="E619" s="3" t="s">
        <v>263</v>
      </c>
      <c r="F619" s="6">
        <v>46022</v>
      </c>
      <c r="G619" s="7">
        <v>0</v>
      </c>
      <c r="H619" t="s">
        <v>143</v>
      </c>
      <c r="I619" t="s">
        <v>137</v>
      </c>
    </row>
    <row r="620" spans="1:9" x14ac:dyDescent="0.3">
      <c r="A620" s="2"/>
      <c r="B620" s="3" t="s">
        <v>152</v>
      </c>
      <c r="C620" s="3"/>
      <c r="D620" s="3"/>
      <c r="E620" s="3"/>
      <c r="F620" s="6">
        <v>46022</v>
      </c>
      <c r="G620" s="7">
        <v>15141.77</v>
      </c>
    </row>
    <row r="621" spans="1:9" x14ac:dyDescent="0.3">
      <c r="A621" s="2"/>
      <c r="B621" s="3" t="s">
        <v>153</v>
      </c>
      <c r="C621" s="3"/>
      <c r="D621" s="3"/>
      <c r="E621" s="3"/>
      <c r="F621" s="6">
        <v>46022</v>
      </c>
      <c r="G621" s="7">
        <v>403412.94</v>
      </c>
    </row>
    <row r="622" spans="1:9" x14ac:dyDescent="0.3">
      <c r="A622" s="2"/>
      <c r="B622" s="3" t="s">
        <v>154</v>
      </c>
      <c r="C622" s="3"/>
      <c r="D622" s="3"/>
      <c r="E622" s="3"/>
      <c r="F622" s="6">
        <v>46022</v>
      </c>
      <c r="G622" s="7">
        <v>0</v>
      </c>
    </row>
    <row r="623" spans="1:9" x14ac:dyDescent="0.3">
      <c r="A623" s="2"/>
      <c r="B623" s="3" t="s">
        <v>155</v>
      </c>
      <c r="C623" s="3" t="s">
        <v>268</v>
      </c>
      <c r="D623" s="3" t="s">
        <v>269</v>
      </c>
      <c r="E623" s="3" t="s">
        <v>263</v>
      </c>
      <c r="F623" s="6">
        <v>46022</v>
      </c>
      <c r="G623" s="7">
        <v>0</v>
      </c>
      <c r="H623" t="s">
        <v>235</v>
      </c>
      <c r="I623" t="s">
        <v>234</v>
      </c>
    </row>
    <row r="624" spans="1:9" x14ac:dyDescent="0.3">
      <c r="A624" s="2"/>
      <c r="B624" s="3" t="s">
        <v>542</v>
      </c>
      <c r="C624" s="3" t="s">
        <v>268</v>
      </c>
      <c r="D624" s="3" t="s">
        <v>269</v>
      </c>
      <c r="E624" s="3" t="s">
        <v>263</v>
      </c>
      <c r="F624" s="6">
        <v>46022</v>
      </c>
      <c r="G624" s="7">
        <v>100000</v>
      </c>
      <c r="H624" t="s">
        <v>235</v>
      </c>
      <c r="I624" t="s">
        <v>234</v>
      </c>
    </row>
    <row r="625" spans="1:9" x14ac:dyDescent="0.3">
      <c r="A625" s="2"/>
      <c r="B625" s="3" t="s">
        <v>156</v>
      </c>
      <c r="C625" s="3"/>
      <c r="D625" s="3"/>
      <c r="E625" s="3"/>
      <c r="F625" s="6">
        <v>46022</v>
      </c>
      <c r="G625" s="7">
        <v>100000</v>
      </c>
    </row>
    <row r="626" spans="1:9" x14ac:dyDescent="0.3">
      <c r="A626" s="2"/>
      <c r="B626" s="3" t="s">
        <v>157</v>
      </c>
      <c r="C626" s="3"/>
      <c r="D626" s="3"/>
      <c r="E626" s="3"/>
      <c r="F626" s="6">
        <v>46022</v>
      </c>
      <c r="G626" s="7">
        <v>100000</v>
      </c>
    </row>
    <row r="627" spans="1:9" x14ac:dyDescent="0.3">
      <c r="A627" s="2"/>
      <c r="B627" s="3" t="s">
        <v>158</v>
      </c>
      <c r="C627" s="3"/>
      <c r="D627" s="3"/>
      <c r="E627" s="3"/>
      <c r="F627" s="6">
        <v>46022</v>
      </c>
      <c r="G627" s="7">
        <v>503412.94</v>
      </c>
    </row>
    <row r="628" spans="1:9" x14ac:dyDescent="0.3">
      <c r="A628" s="2"/>
      <c r="B628" s="3" t="s">
        <v>159</v>
      </c>
      <c r="C628" s="3"/>
      <c r="D628" s="3"/>
      <c r="E628" s="3"/>
      <c r="F628" s="6">
        <v>46022</v>
      </c>
      <c r="G628" s="7">
        <v>0</v>
      </c>
    </row>
    <row r="629" spans="1:9" x14ac:dyDescent="0.3">
      <c r="A629" s="2"/>
      <c r="B629" s="3" t="s">
        <v>160</v>
      </c>
      <c r="C629" s="3"/>
      <c r="D629" s="3"/>
      <c r="E629" s="3"/>
      <c r="F629" s="6">
        <v>46022</v>
      </c>
      <c r="G629" s="7">
        <v>0</v>
      </c>
    </row>
    <row r="630" spans="1:9" x14ac:dyDescent="0.3">
      <c r="A630" s="2"/>
      <c r="B630" s="3" t="s">
        <v>161</v>
      </c>
      <c r="C630" s="3"/>
      <c r="D630" s="3"/>
      <c r="E630" s="3"/>
      <c r="F630" s="6">
        <v>46022</v>
      </c>
      <c r="G630" s="7">
        <v>0</v>
      </c>
    </row>
    <row r="631" spans="1:9" x14ac:dyDescent="0.3">
      <c r="A631" s="2"/>
      <c r="B631" s="3" t="s">
        <v>162</v>
      </c>
      <c r="C631" s="3"/>
      <c r="D631" s="3"/>
      <c r="E631" s="3"/>
      <c r="F631" s="6">
        <v>46022</v>
      </c>
      <c r="G631" s="7">
        <v>0</v>
      </c>
    </row>
    <row r="632" spans="1:9" x14ac:dyDescent="0.3">
      <c r="A632" s="2"/>
      <c r="B632" s="3" t="s">
        <v>163</v>
      </c>
      <c r="C632" s="3" t="s">
        <v>162</v>
      </c>
      <c r="D632" s="3" t="s">
        <v>270</v>
      </c>
      <c r="E632" s="3" t="s">
        <v>271</v>
      </c>
      <c r="F632" s="6">
        <v>46022</v>
      </c>
      <c r="G632" s="7">
        <v>4294.1899999999996</v>
      </c>
      <c r="H632" t="s">
        <v>162</v>
      </c>
      <c r="I632" t="s">
        <v>161</v>
      </c>
    </row>
    <row r="633" spans="1:9" x14ac:dyDescent="0.3">
      <c r="A633" s="2"/>
      <c r="B633" s="3" t="s">
        <v>164</v>
      </c>
      <c r="C633" s="3"/>
      <c r="D633" s="3"/>
      <c r="E633" s="3"/>
      <c r="F633" s="6">
        <v>46022</v>
      </c>
      <c r="G633" s="7">
        <v>4294.1899999999996</v>
      </c>
    </row>
    <row r="634" spans="1:9" x14ac:dyDescent="0.3">
      <c r="A634" s="2"/>
      <c r="B634" s="3" t="s">
        <v>165</v>
      </c>
      <c r="C634" s="3" t="s">
        <v>256</v>
      </c>
      <c r="D634" s="3" t="s">
        <v>272</v>
      </c>
      <c r="E634" s="3" t="s">
        <v>271</v>
      </c>
      <c r="F634" s="6">
        <v>46022</v>
      </c>
      <c r="G634" s="7">
        <v>0</v>
      </c>
    </row>
    <row r="635" spans="1:9" x14ac:dyDescent="0.3">
      <c r="A635" s="2"/>
      <c r="B635" s="3" t="s">
        <v>545</v>
      </c>
      <c r="C635" s="3" t="s">
        <v>256</v>
      </c>
      <c r="D635" s="3" t="s">
        <v>272</v>
      </c>
      <c r="E635" s="3" t="s">
        <v>271</v>
      </c>
      <c r="F635" s="6">
        <v>46022</v>
      </c>
      <c r="G635" s="7">
        <v>3749.42</v>
      </c>
      <c r="H635" t="s">
        <v>162</v>
      </c>
      <c r="I635" t="s">
        <v>161</v>
      </c>
    </row>
    <row r="636" spans="1:9" x14ac:dyDescent="0.3">
      <c r="A636" s="2"/>
      <c r="B636" s="3" t="s">
        <v>546</v>
      </c>
      <c r="C636" s="3" t="s">
        <v>256</v>
      </c>
      <c r="D636" s="3" t="s">
        <v>272</v>
      </c>
      <c r="E636" s="3" t="s">
        <v>271</v>
      </c>
      <c r="F636" s="6">
        <v>46022</v>
      </c>
      <c r="G636" s="7">
        <v>0</v>
      </c>
      <c r="H636" t="s">
        <v>162</v>
      </c>
      <c r="I636" t="s">
        <v>161</v>
      </c>
    </row>
    <row r="637" spans="1:9" x14ac:dyDescent="0.3">
      <c r="A637" s="2"/>
      <c r="B637" s="3" t="s">
        <v>547</v>
      </c>
      <c r="C637" s="3" t="s">
        <v>256</v>
      </c>
      <c r="D637" s="3" t="s">
        <v>272</v>
      </c>
      <c r="E637" s="3" t="s">
        <v>271</v>
      </c>
      <c r="F637" s="6">
        <v>46022</v>
      </c>
      <c r="G637" s="7">
        <v>546.17999999999995</v>
      </c>
      <c r="H637" t="s">
        <v>162</v>
      </c>
      <c r="I637" t="s">
        <v>161</v>
      </c>
    </row>
    <row r="638" spans="1:9" x14ac:dyDescent="0.3">
      <c r="A638" s="2"/>
      <c r="B638" s="3" t="s">
        <v>166</v>
      </c>
      <c r="C638" s="3"/>
      <c r="D638" s="3"/>
      <c r="E638" s="3"/>
      <c r="F638" s="6">
        <v>46022</v>
      </c>
      <c r="G638" s="7">
        <v>4295.6000000000004</v>
      </c>
    </row>
    <row r="639" spans="1:9" x14ac:dyDescent="0.3">
      <c r="A639" s="2"/>
      <c r="B639" s="3" t="s">
        <v>167</v>
      </c>
      <c r="C639" s="3"/>
      <c r="D639" s="3"/>
      <c r="E639" s="3"/>
      <c r="F639" s="6">
        <v>46022</v>
      </c>
      <c r="G639" s="7">
        <v>0</v>
      </c>
    </row>
    <row r="640" spans="1:9" x14ac:dyDescent="0.3">
      <c r="A640" s="2"/>
      <c r="B640" s="3" t="s">
        <v>173</v>
      </c>
      <c r="C640" s="3" t="s">
        <v>257</v>
      </c>
      <c r="D640" s="3" t="s">
        <v>273</v>
      </c>
      <c r="E640" s="3" t="s">
        <v>271</v>
      </c>
      <c r="F640" s="6">
        <v>46022</v>
      </c>
      <c r="G640" s="7">
        <v>39434.959999999999</v>
      </c>
      <c r="H640" t="s">
        <v>237</v>
      </c>
      <c r="I640" t="s">
        <v>161</v>
      </c>
    </row>
    <row r="641" spans="1:9" x14ac:dyDescent="0.3">
      <c r="A641" s="2"/>
      <c r="B641" s="3" t="s">
        <v>174</v>
      </c>
      <c r="C641" s="3" t="s">
        <v>257</v>
      </c>
      <c r="D641" s="3" t="s">
        <v>273</v>
      </c>
      <c r="E641" s="3" t="s">
        <v>271</v>
      </c>
      <c r="F641" s="6">
        <v>46022</v>
      </c>
      <c r="G641" s="7">
        <v>1000</v>
      </c>
      <c r="H641" t="s">
        <v>167</v>
      </c>
      <c r="I641" t="s">
        <v>161</v>
      </c>
    </row>
    <row r="642" spans="1:9" x14ac:dyDescent="0.3">
      <c r="A642" s="2"/>
      <c r="B642" s="3" t="s">
        <v>175</v>
      </c>
      <c r="C642" s="3"/>
      <c r="D642" s="3"/>
      <c r="E642" s="3"/>
      <c r="F642" s="6">
        <v>46022</v>
      </c>
      <c r="G642" s="7">
        <v>40434.959999999999</v>
      </c>
    </row>
    <row r="643" spans="1:9" x14ac:dyDescent="0.3">
      <c r="A643" s="2"/>
      <c r="B643" s="3" t="s">
        <v>176</v>
      </c>
      <c r="C643" s="3"/>
      <c r="D643" s="3"/>
      <c r="E643" s="3"/>
      <c r="F643" s="6">
        <v>46022</v>
      </c>
      <c r="G643" s="7">
        <v>49024.75</v>
      </c>
    </row>
    <row r="644" spans="1:9" x14ac:dyDescent="0.3">
      <c r="A644" s="2"/>
      <c r="B644" s="3" t="s">
        <v>177</v>
      </c>
      <c r="C644" s="3"/>
      <c r="D644" s="3"/>
      <c r="E644" s="3"/>
      <c r="F644" s="6">
        <v>46022</v>
      </c>
      <c r="G644" s="7">
        <v>0</v>
      </c>
    </row>
    <row r="645" spans="1:9" x14ac:dyDescent="0.3">
      <c r="A645" s="2"/>
      <c r="B645" s="3" t="s">
        <v>178</v>
      </c>
      <c r="C645" s="3" t="s">
        <v>274</v>
      </c>
      <c r="D645" s="3" t="s">
        <v>275</v>
      </c>
      <c r="E645" s="3" t="s">
        <v>271</v>
      </c>
      <c r="F645" s="6">
        <v>46022</v>
      </c>
      <c r="G645" s="7">
        <v>90000</v>
      </c>
      <c r="H645" t="s">
        <v>239</v>
      </c>
      <c r="I645" t="s">
        <v>177</v>
      </c>
    </row>
    <row r="646" spans="1:9" x14ac:dyDescent="0.3">
      <c r="A646" s="2"/>
      <c r="B646" s="3" t="s">
        <v>179</v>
      </c>
      <c r="C646" s="3"/>
      <c r="D646" s="3"/>
      <c r="E646" s="3"/>
      <c r="F646" s="6">
        <v>46022</v>
      </c>
      <c r="G646" s="7">
        <v>90000</v>
      </c>
    </row>
    <row r="647" spans="1:9" x14ac:dyDescent="0.3">
      <c r="A647" s="2"/>
      <c r="B647" s="3" t="s">
        <v>14</v>
      </c>
      <c r="C647" s="3"/>
      <c r="D647" s="3"/>
      <c r="E647" s="3"/>
      <c r="F647" s="6">
        <v>46022</v>
      </c>
      <c r="G647" s="7">
        <v>139024.75</v>
      </c>
    </row>
    <row r="648" spans="1:9" x14ac:dyDescent="0.3">
      <c r="A648" s="2"/>
      <c r="B648" s="3" t="s">
        <v>180</v>
      </c>
      <c r="C648" s="3"/>
      <c r="D648" s="3"/>
      <c r="E648" s="3"/>
      <c r="F648" s="6">
        <v>46022</v>
      </c>
      <c r="G648" s="7">
        <v>0</v>
      </c>
    </row>
    <row r="649" spans="1:9" x14ac:dyDescent="0.3">
      <c r="A649" s="2"/>
      <c r="B649" s="3" t="s">
        <v>181</v>
      </c>
      <c r="C649" s="3" t="s">
        <v>180</v>
      </c>
      <c r="D649" s="3" t="s">
        <v>276</v>
      </c>
      <c r="E649" s="3" t="s">
        <v>180</v>
      </c>
      <c r="F649" s="6">
        <v>46022</v>
      </c>
      <c r="G649" s="7">
        <v>0</v>
      </c>
      <c r="H649" t="s">
        <v>240</v>
      </c>
      <c r="I649" t="s">
        <v>180</v>
      </c>
    </row>
    <row r="650" spans="1:9" x14ac:dyDescent="0.3">
      <c r="A650" s="2"/>
      <c r="B650" s="3" t="s">
        <v>563</v>
      </c>
      <c r="C650" s="3" t="s">
        <v>180</v>
      </c>
      <c r="D650" s="3" t="s">
        <v>277</v>
      </c>
      <c r="E650" s="3" t="s">
        <v>180</v>
      </c>
      <c r="F650" s="6">
        <v>46022</v>
      </c>
      <c r="G650" s="7">
        <v>0</v>
      </c>
      <c r="H650" t="s">
        <v>240</v>
      </c>
      <c r="I650" t="s">
        <v>180</v>
      </c>
    </row>
    <row r="651" spans="1:9" x14ac:dyDescent="0.3">
      <c r="A651" s="2"/>
      <c r="B651" s="3" t="s">
        <v>564</v>
      </c>
      <c r="C651" s="3" t="s">
        <v>180</v>
      </c>
      <c r="D651" s="3" t="s">
        <v>278</v>
      </c>
      <c r="E651" s="3" t="s">
        <v>180</v>
      </c>
      <c r="F651" s="6">
        <v>46022</v>
      </c>
      <c r="G651" s="7">
        <v>-75000</v>
      </c>
      <c r="H651" t="s">
        <v>240</v>
      </c>
      <c r="I651" t="s">
        <v>180</v>
      </c>
    </row>
    <row r="652" spans="1:9" x14ac:dyDescent="0.3">
      <c r="A652" s="2"/>
      <c r="B652" s="3" t="s">
        <v>565</v>
      </c>
      <c r="C652" s="3"/>
      <c r="D652" s="3"/>
      <c r="E652" s="3"/>
      <c r="F652" s="6">
        <v>46022</v>
      </c>
      <c r="G652" s="7">
        <v>-75000</v>
      </c>
    </row>
    <row r="653" spans="1:9" x14ac:dyDescent="0.3">
      <c r="A653" s="2"/>
      <c r="B653" s="3" t="s">
        <v>566</v>
      </c>
      <c r="C653" s="3" t="s">
        <v>180</v>
      </c>
      <c r="D653" s="3" t="s">
        <v>277</v>
      </c>
      <c r="E653" s="3" t="s">
        <v>180</v>
      </c>
      <c r="F653" s="6">
        <v>46022</v>
      </c>
      <c r="G653" s="7">
        <v>0</v>
      </c>
      <c r="H653" t="s">
        <v>240</v>
      </c>
      <c r="I653" t="s">
        <v>180</v>
      </c>
    </row>
    <row r="654" spans="1:9" x14ac:dyDescent="0.3">
      <c r="A654" s="2"/>
      <c r="B654" s="3" t="s">
        <v>183</v>
      </c>
      <c r="C654" s="3" t="s">
        <v>180</v>
      </c>
      <c r="D654" s="3" t="s">
        <v>280</v>
      </c>
      <c r="E654" s="3" t="s">
        <v>180</v>
      </c>
      <c r="F654" s="6">
        <v>46022</v>
      </c>
      <c r="G654" s="7">
        <v>-75000</v>
      </c>
      <c r="H654" t="s">
        <v>240</v>
      </c>
      <c r="I654" t="s">
        <v>180</v>
      </c>
    </row>
    <row r="655" spans="1:9" x14ac:dyDescent="0.3">
      <c r="A655" s="2"/>
      <c r="B655" s="3" t="s">
        <v>567</v>
      </c>
      <c r="C655" s="3"/>
      <c r="D655" s="3"/>
      <c r="E655" s="3"/>
      <c r="F655" s="6">
        <v>46022</v>
      </c>
      <c r="G655" s="7">
        <v>-75000</v>
      </c>
    </row>
    <row r="656" spans="1:9" x14ac:dyDescent="0.3">
      <c r="A656" s="2"/>
      <c r="B656" s="3" t="s">
        <v>185</v>
      </c>
      <c r="C656" s="3" t="s">
        <v>180</v>
      </c>
      <c r="D656" s="3" t="s">
        <v>279</v>
      </c>
      <c r="E656" s="3" t="s">
        <v>180</v>
      </c>
      <c r="F656" s="6">
        <v>46022</v>
      </c>
      <c r="G656" s="7">
        <v>406280.27</v>
      </c>
      <c r="H656" t="s">
        <v>240</v>
      </c>
      <c r="I656" t="s">
        <v>180</v>
      </c>
    </row>
    <row r="657" spans="1:9" x14ac:dyDescent="0.3">
      <c r="A657" s="2"/>
      <c r="B657" s="3" t="s">
        <v>186</v>
      </c>
      <c r="C657" s="3" t="s">
        <v>180</v>
      </c>
      <c r="D657" s="3" t="s">
        <v>278</v>
      </c>
      <c r="E657" s="3" t="s">
        <v>180</v>
      </c>
      <c r="F657" s="6">
        <v>46022</v>
      </c>
      <c r="G657" s="7">
        <v>0</v>
      </c>
    </row>
    <row r="658" spans="1:9" x14ac:dyDescent="0.3">
      <c r="A658" s="2"/>
      <c r="B658" s="3" t="s">
        <v>12</v>
      </c>
      <c r="C658" s="3" t="s">
        <v>180</v>
      </c>
      <c r="D658" s="3"/>
      <c r="E658" s="3" t="s">
        <v>180</v>
      </c>
      <c r="F658" s="6">
        <v>46022</v>
      </c>
      <c r="G658" s="7">
        <v>108107.92</v>
      </c>
    </row>
    <row r="659" spans="1:9" x14ac:dyDescent="0.3">
      <c r="A659" s="2"/>
      <c r="B659" s="3" t="s">
        <v>15</v>
      </c>
      <c r="C659" s="3"/>
      <c r="D659" s="3"/>
      <c r="E659" s="3"/>
      <c r="F659" s="6">
        <v>46022</v>
      </c>
      <c r="G659" s="7">
        <v>364388.19</v>
      </c>
    </row>
    <row r="660" spans="1:9" x14ac:dyDescent="0.3">
      <c r="A660" s="2"/>
      <c r="B660" s="3" t="s">
        <v>187</v>
      </c>
      <c r="C660" s="3"/>
      <c r="D660" s="3"/>
      <c r="E660" s="3"/>
      <c r="F660" s="6">
        <v>46022</v>
      </c>
      <c r="G660" s="7">
        <v>503412.94</v>
      </c>
    </row>
    <row r="661" spans="1:9" x14ac:dyDescent="0.3">
      <c r="A661" s="2"/>
      <c r="B661" s="3" t="s">
        <v>136</v>
      </c>
      <c r="C661" s="3"/>
      <c r="D661" s="3"/>
      <c r="E661" s="3"/>
      <c r="F661" s="6">
        <v>46053</v>
      </c>
      <c r="G661" s="7">
        <v>0</v>
      </c>
    </row>
    <row r="662" spans="1:9" x14ac:dyDescent="0.3">
      <c r="A662" s="2"/>
      <c r="B662" s="3" t="s">
        <v>137</v>
      </c>
      <c r="C662" s="3"/>
      <c r="D662" s="3"/>
      <c r="E662" s="3"/>
      <c r="F662" s="6">
        <v>46053</v>
      </c>
      <c r="G662" s="7">
        <v>0</v>
      </c>
    </row>
    <row r="663" spans="1:9" x14ac:dyDescent="0.3">
      <c r="A663" s="2"/>
      <c r="B663" s="3" t="s">
        <v>138</v>
      </c>
      <c r="C663" s="3"/>
      <c r="D663" s="3"/>
      <c r="E663" s="3"/>
      <c r="F663" s="6">
        <v>46053</v>
      </c>
      <c r="G663" s="7">
        <v>0</v>
      </c>
    </row>
    <row r="664" spans="1:9" x14ac:dyDescent="0.3">
      <c r="A664" s="2"/>
      <c r="B664" s="3" t="s">
        <v>553</v>
      </c>
      <c r="C664" s="3" t="s">
        <v>254</v>
      </c>
      <c r="D664" s="3" t="s">
        <v>262</v>
      </c>
      <c r="E664" s="3" t="s">
        <v>263</v>
      </c>
      <c r="F664" s="6">
        <v>46053</v>
      </c>
      <c r="G664" s="7">
        <v>214008.54</v>
      </c>
      <c r="H664" t="s">
        <v>232</v>
      </c>
      <c r="I664" t="s">
        <v>137</v>
      </c>
    </row>
    <row r="665" spans="1:9" x14ac:dyDescent="0.3">
      <c r="A665" s="2"/>
      <c r="B665" s="3" t="s">
        <v>554</v>
      </c>
      <c r="C665" s="3" t="s">
        <v>254</v>
      </c>
      <c r="D665" s="3" t="s">
        <v>262</v>
      </c>
      <c r="E665" s="3" t="s">
        <v>263</v>
      </c>
      <c r="F665" s="6">
        <v>46053</v>
      </c>
      <c r="G665" s="7">
        <v>15000</v>
      </c>
      <c r="H665" t="s">
        <v>232</v>
      </c>
      <c r="I665" t="s">
        <v>137</v>
      </c>
    </row>
    <row r="666" spans="1:9" x14ac:dyDescent="0.3">
      <c r="A666" s="2"/>
      <c r="B666" s="3" t="s">
        <v>139</v>
      </c>
      <c r="C666" s="3"/>
      <c r="D666" s="3"/>
      <c r="E666" s="3"/>
      <c r="F666" s="6">
        <v>46053</v>
      </c>
      <c r="G666" s="7">
        <v>229008.54</v>
      </c>
    </row>
    <row r="667" spans="1:9" x14ac:dyDescent="0.3">
      <c r="A667" s="2"/>
      <c r="B667" s="3" t="s">
        <v>140</v>
      </c>
      <c r="C667" s="3"/>
      <c r="D667" s="3"/>
      <c r="E667" s="3"/>
      <c r="F667" s="6">
        <v>46053</v>
      </c>
      <c r="G667" s="7">
        <v>0</v>
      </c>
    </row>
    <row r="668" spans="1:9" x14ac:dyDescent="0.3">
      <c r="A668" s="2"/>
      <c r="B668" s="3" t="s">
        <v>141</v>
      </c>
      <c r="C668" s="3" t="s">
        <v>140</v>
      </c>
      <c r="D668" s="3" t="s">
        <v>264</v>
      </c>
      <c r="E668" s="3" t="s">
        <v>263</v>
      </c>
      <c r="F668" s="6">
        <v>46053</v>
      </c>
      <c r="G668" s="7">
        <v>126274.13</v>
      </c>
      <c r="H668" t="s">
        <v>233</v>
      </c>
      <c r="I668" t="s">
        <v>137</v>
      </c>
    </row>
    <row r="669" spans="1:9" x14ac:dyDescent="0.3">
      <c r="A669" s="2"/>
      <c r="B669" s="3" t="s">
        <v>142</v>
      </c>
      <c r="C669" s="3"/>
      <c r="D669" s="3"/>
      <c r="E669" s="3"/>
      <c r="F669" s="6">
        <v>46053</v>
      </c>
      <c r="G669" s="7">
        <v>126274.13</v>
      </c>
    </row>
    <row r="670" spans="1:9" x14ac:dyDescent="0.3">
      <c r="A670" s="2"/>
      <c r="B670" s="3" t="s">
        <v>143</v>
      </c>
      <c r="C670" s="3" t="s">
        <v>255</v>
      </c>
      <c r="D670" s="3" t="s">
        <v>265</v>
      </c>
      <c r="E670" s="3" t="s">
        <v>263</v>
      </c>
      <c r="F670" s="6">
        <v>46053</v>
      </c>
      <c r="G670" s="7">
        <v>0</v>
      </c>
    </row>
    <row r="671" spans="1:9" x14ac:dyDescent="0.3">
      <c r="A671" s="2"/>
      <c r="B671" s="3" t="s">
        <v>144</v>
      </c>
      <c r="C671" s="3" t="s">
        <v>255</v>
      </c>
      <c r="D671" s="3" t="s">
        <v>265</v>
      </c>
      <c r="E671" s="3" t="s">
        <v>263</v>
      </c>
      <c r="F671" s="6">
        <v>46053</v>
      </c>
      <c r="G671" s="7">
        <v>494.15</v>
      </c>
      <c r="H671" t="s">
        <v>143</v>
      </c>
      <c r="I671" t="s">
        <v>137</v>
      </c>
    </row>
    <row r="672" spans="1:9" x14ac:dyDescent="0.3">
      <c r="A672" s="2"/>
      <c r="B672" s="3" t="s">
        <v>145</v>
      </c>
      <c r="C672" s="3" t="s">
        <v>255</v>
      </c>
      <c r="D672" s="3" t="s">
        <v>265</v>
      </c>
      <c r="E672" s="3" t="s">
        <v>263</v>
      </c>
      <c r="F672" s="6">
        <v>46053</v>
      </c>
      <c r="G672" s="7">
        <v>74.92</v>
      </c>
      <c r="H672" t="s">
        <v>143</v>
      </c>
      <c r="I672" t="s">
        <v>137</v>
      </c>
    </row>
    <row r="673" spans="1:9" x14ac:dyDescent="0.3">
      <c r="A673" s="2"/>
      <c r="B673" s="3" t="s">
        <v>146</v>
      </c>
      <c r="C673" s="3" t="s">
        <v>255</v>
      </c>
      <c r="D673" s="3" t="s">
        <v>266</v>
      </c>
      <c r="E673" s="3" t="s">
        <v>263</v>
      </c>
      <c r="F673" s="6">
        <v>46053</v>
      </c>
      <c r="G673" s="7">
        <v>0</v>
      </c>
      <c r="H673" t="s">
        <v>143</v>
      </c>
      <c r="I673" t="s">
        <v>137</v>
      </c>
    </row>
    <row r="674" spans="1:9" x14ac:dyDescent="0.3">
      <c r="A674" s="2"/>
      <c r="B674" s="3" t="s">
        <v>147</v>
      </c>
      <c r="C674" s="3" t="s">
        <v>255</v>
      </c>
      <c r="D674" s="3" t="s">
        <v>265</v>
      </c>
      <c r="E674" s="3" t="s">
        <v>263</v>
      </c>
      <c r="F674" s="6">
        <v>46053</v>
      </c>
      <c r="G674" s="7">
        <v>10810.44</v>
      </c>
      <c r="H674" t="s">
        <v>143</v>
      </c>
      <c r="I674" t="s">
        <v>137</v>
      </c>
    </row>
    <row r="675" spans="1:9" x14ac:dyDescent="0.3">
      <c r="A675" s="2"/>
      <c r="B675" s="3" t="s">
        <v>562</v>
      </c>
      <c r="C675" s="3" t="s">
        <v>255</v>
      </c>
      <c r="D675" s="3" t="s">
        <v>266</v>
      </c>
      <c r="E675" s="3" t="s">
        <v>263</v>
      </c>
      <c r="F675" s="6">
        <v>46053</v>
      </c>
      <c r="G675" s="7">
        <v>6041.86</v>
      </c>
      <c r="H675" t="s">
        <v>143</v>
      </c>
      <c r="I675" t="s">
        <v>137</v>
      </c>
    </row>
    <row r="676" spans="1:9" x14ac:dyDescent="0.3">
      <c r="A676" s="2"/>
      <c r="B676" s="3" t="s">
        <v>149</v>
      </c>
      <c r="C676" s="3"/>
      <c r="D676" s="3"/>
      <c r="E676" s="3"/>
      <c r="F676" s="6">
        <v>46053</v>
      </c>
      <c r="G676" s="7">
        <v>16852.3</v>
      </c>
    </row>
    <row r="677" spans="1:9" x14ac:dyDescent="0.3">
      <c r="A677" s="2"/>
      <c r="B677" s="3" t="s">
        <v>150</v>
      </c>
      <c r="C677" s="3" t="s">
        <v>255</v>
      </c>
      <c r="D677" s="3" t="s">
        <v>265</v>
      </c>
      <c r="E677" s="3" t="s">
        <v>263</v>
      </c>
      <c r="F677" s="6">
        <v>46053</v>
      </c>
      <c r="G677" s="7">
        <v>0</v>
      </c>
      <c r="H677" t="s">
        <v>143</v>
      </c>
      <c r="I677" t="s">
        <v>137</v>
      </c>
    </row>
    <row r="678" spans="1:9" x14ac:dyDescent="0.3">
      <c r="A678" s="2"/>
      <c r="B678" s="3" t="s">
        <v>151</v>
      </c>
      <c r="C678" s="3" t="s">
        <v>255</v>
      </c>
      <c r="D678" s="3" t="s">
        <v>267</v>
      </c>
      <c r="E678" s="3" t="s">
        <v>263</v>
      </c>
      <c r="F678" s="6">
        <v>46053</v>
      </c>
      <c r="G678" s="7">
        <v>0</v>
      </c>
      <c r="H678" t="s">
        <v>143</v>
      </c>
      <c r="I678" t="s">
        <v>137</v>
      </c>
    </row>
    <row r="679" spans="1:9" x14ac:dyDescent="0.3">
      <c r="A679" s="2"/>
      <c r="B679" s="3" t="s">
        <v>152</v>
      </c>
      <c r="C679" s="3"/>
      <c r="D679" s="3"/>
      <c r="E679" s="3"/>
      <c r="F679" s="6">
        <v>46053</v>
      </c>
      <c r="G679" s="7">
        <v>17421.37</v>
      </c>
    </row>
    <row r="680" spans="1:9" x14ac:dyDescent="0.3">
      <c r="A680" s="2"/>
      <c r="B680" s="3" t="s">
        <v>153</v>
      </c>
      <c r="C680" s="3"/>
      <c r="D680" s="3"/>
      <c r="E680" s="3"/>
      <c r="F680" s="6">
        <v>46053</v>
      </c>
      <c r="G680" s="7">
        <v>372704.04</v>
      </c>
    </row>
    <row r="681" spans="1:9" x14ac:dyDescent="0.3">
      <c r="A681" s="2"/>
      <c r="B681" s="3" t="s">
        <v>154</v>
      </c>
      <c r="C681" s="3"/>
      <c r="D681" s="3"/>
      <c r="E681" s="3"/>
      <c r="F681" s="6">
        <v>46053</v>
      </c>
      <c r="G681" s="7">
        <v>0</v>
      </c>
    </row>
    <row r="682" spans="1:9" x14ac:dyDescent="0.3">
      <c r="A682" s="2"/>
      <c r="B682" s="3" t="s">
        <v>155</v>
      </c>
      <c r="C682" s="3" t="s">
        <v>268</v>
      </c>
      <c r="D682" s="3" t="s">
        <v>269</v>
      </c>
      <c r="E682" s="3" t="s">
        <v>263</v>
      </c>
      <c r="F682" s="6">
        <v>46053</v>
      </c>
      <c r="G682" s="7">
        <v>0</v>
      </c>
      <c r="H682" t="s">
        <v>235</v>
      </c>
      <c r="I682" t="s">
        <v>234</v>
      </c>
    </row>
    <row r="683" spans="1:9" x14ac:dyDescent="0.3">
      <c r="A683" s="2"/>
      <c r="B683" s="3" t="s">
        <v>542</v>
      </c>
      <c r="C683" s="3" t="s">
        <v>268</v>
      </c>
      <c r="D683" s="3" t="s">
        <v>269</v>
      </c>
      <c r="E683" s="3" t="s">
        <v>263</v>
      </c>
      <c r="F683" s="6">
        <v>46053</v>
      </c>
      <c r="G683" s="7">
        <v>100000</v>
      </c>
      <c r="H683" t="s">
        <v>235</v>
      </c>
      <c r="I683" t="s">
        <v>234</v>
      </c>
    </row>
    <row r="684" spans="1:9" x14ac:dyDescent="0.3">
      <c r="A684" s="2"/>
      <c r="B684" s="3" t="s">
        <v>156</v>
      </c>
      <c r="C684" s="3"/>
      <c r="D684" s="3"/>
      <c r="E684" s="3"/>
      <c r="F684" s="6">
        <v>46053</v>
      </c>
      <c r="G684" s="7">
        <v>100000</v>
      </c>
    </row>
    <row r="685" spans="1:9" x14ac:dyDescent="0.3">
      <c r="A685" s="2"/>
      <c r="B685" s="3" t="s">
        <v>157</v>
      </c>
      <c r="C685" s="3"/>
      <c r="D685" s="3"/>
      <c r="E685" s="3"/>
      <c r="F685" s="6">
        <v>46053</v>
      </c>
      <c r="G685" s="7">
        <v>100000</v>
      </c>
    </row>
    <row r="686" spans="1:9" x14ac:dyDescent="0.3">
      <c r="A686" s="2"/>
      <c r="B686" s="3" t="s">
        <v>158</v>
      </c>
      <c r="C686" s="3"/>
      <c r="D686" s="3"/>
      <c r="E686" s="3"/>
      <c r="F686" s="6">
        <v>46053</v>
      </c>
      <c r="G686" s="7">
        <v>472704.04</v>
      </c>
    </row>
    <row r="687" spans="1:9" x14ac:dyDescent="0.3">
      <c r="A687" s="2"/>
      <c r="B687" s="3" t="s">
        <v>159</v>
      </c>
      <c r="C687" s="3"/>
      <c r="D687" s="3"/>
      <c r="E687" s="3"/>
      <c r="F687" s="6">
        <v>46053</v>
      </c>
      <c r="G687" s="7">
        <v>0</v>
      </c>
    </row>
    <row r="688" spans="1:9" x14ac:dyDescent="0.3">
      <c r="A688" s="2"/>
      <c r="B688" s="3" t="s">
        <v>160</v>
      </c>
      <c r="C688" s="3"/>
      <c r="D688" s="3"/>
      <c r="E688" s="3"/>
      <c r="F688" s="6">
        <v>46053</v>
      </c>
      <c r="G688" s="7">
        <v>0</v>
      </c>
    </row>
    <row r="689" spans="1:9" x14ac:dyDescent="0.3">
      <c r="A689" s="2"/>
      <c r="B689" s="3" t="s">
        <v>161</v>
      </c>
      <c r="C689" s="3"/>
      <c r="D689" s="3"/>
      <c r="E689" s="3"/>
      <c r="F689" s="6">
        <v>46053</v>
      </c>
      <c r="G689" s="7">
        <v>0</v>
      </c>
    </row>
    <row r="690" spans="1:9" x14ac:dyDescent="0.3">
      <c r="A690" s="2"/>
      <c r="B690" s="3" t="s">
        <v>162</v>
      </c>
      <c r="C690" s="3"/>
      <c r="D690" s="3"/>
      <c r="E690" s="3"/>
      <c r="F690" s="6">
        <v>46053</v>
      </c>
      <c r="G690" s="7">
        <v>0</v>
      </c>
    </row>
    <row r="691" spans="1:9" x14ac:dyDescent="0.3">
      <c r="A691" s="2"/>
      <c r="B691" s="3" t="s">
        <v>163</v>
      </c>
      <c r="C691" s="3" t="s">
        <v>162</v>
      </c>
      <c r="D691" s="3" t="s">
        <v>270</v>
      </c>
      <c r="E691" s="3" t="s">
        <v>271</v>
      </c>
      <c r="F691" s="6">
        <v>46053</v>
      </c>
      <c r="G691" s="7">
        <v>15414.19</v>
      </c>
      <c r="H691" t="s">
        <v>162</v>
      </c>
      <c r="I691" t="s">
        <v>161</v>
      </c>
    </row>
    <row r="692" spans="1:9" x14ac:dyDescent="0.3">
      <c r="A692" s="2"/>
      <c r="B692" s="3" t="s">
        <v>164</v>
      </c>
      <c r="C692" s="3"/>
      <c r="D692" s="3"/>
      <c r="E692" s="3"/>
      <c r="F692" s="6">
        <v>46053</v>
      </c>
      <c r="G692" s="7">
        <v>15414.19</v>
      </c>
    </row>
    <row r="693" spans="1:9" x14ac:dyDescent="0.3">
      <c r="A693" s="2"/>
      <c r="B693" s="3" t="s">
        <v>165</v>
      </c>
      <c r="C693" s="3" t="s">
        <v>256</v>
      </c>
      <c r="D693" s="3" t="s">
        <v>272</v>
      </c>
      <c r="E693" s="3" t="s">
        <v>271</v>
      </c>
      <c r="F693" s="6">
        <v>46053</v>
      </c>
      <c r="G693" s="7">
        <v>0</v>
      </c>
    </row>
    <row r="694" spans="1:9" x14ac:dyDescent="0.3">
      <c r="A694" s="2"/>
      <c r="B694" s="3" t="s">
        <v>545</v>
      </c>
      <c r="C694" s="3" t="s">
        <v>256</v>
      </c>
      <c r="D694" s="3" t="s">
        <v>272</v>
      </c>
      <c r="E694" s="3" t="s">
        <v>271</v>
      </c>
      <c r="F694" s="6">
        <v>46053</v>
      </c>
      <c r="G694" s="7">
        <v>4618.08</v>
      </c>
      <c r="H694" t="s">
        <v>162</v>
      </c>
      <c r="I694" t="s">
        <v>161</v>
      </c>
    </row>
    <row r="695" spans="1:9" x14ac:dyDescent="0.3">
      <c r="A695" s="2"/>
      <c r="B695" s="3" t="s">
        <v>546</v>
      </c>
      <c r="C695" s="3" t="s">
        <v>256</v>
      </c>
      <c r="D695" s="3" t="s">
        <v>272</v>
      </c>
      <c r="E695" s="3" t="s">
        <v>271</v>
      </c>
      <c r="F695" s="6">
        <v>46053</v>
      </c>
      <c r="G695" s="7">
        <v>0</v>
      </c>
      <c r="H695" t="s">
        <v>162</v>
      </c>
      <c r="I695" t="s">
        <v>161</v>
      </c>
    </row>
    <row r="696" spans="1:9" x14ac:dyDescent="0.3">
      <c r="A696" s="2"/>
      <c r="B696" s="3" t="s">
        <v>547</v>
      </c>
      <c r="C696" s="3" t="s">
        <v>256</v>
      </c>
      <c r="D696" s="3" t="s">
        <v>272</v>
      </c>
      <c r="E696" s="3" t="s">
        <v>271</v>
      </c>
      <c r="F696" s="6">
        <v>46053</v>
      </c>
      <c r="G696" s="7">
        <v>336.74</v>
      </c>
      <c r="H696" t="s">
        <v>162</v>
      </c>
      <c r="I696" t="s">
        <v>161</v>
      </c>
    </row>
    <row r="697" spans="1:9" x14ac:dyDescent="0.3">
      <c r="A697" s="2"/>
      <c r="B697" s="3" t="s">
        <v>166</v>
      </c>
      <c r="C697" s="3"/>
      <c r="D697" s="3"/>
      <c r="E697" s="3"/>
      <c r="F697" s="6">
        <v>46053</v>
      </c>
      <c r="G697" s="7">
        <v>4954.82</v>
      </c>
    </row>
    <row r="698" spans="1:9" x14ac:dyDescent="0.3">
      <c r="A698" s="2"/>
      <c r="B698" s="3" t="s">
        <v>167</v>
      </c>
      <c r="C698" s="3"/>
      <c r="D698" s="3"/>
      <c r="E698" s="3"/>
      <c r="F698" s="6">
        <v>46053</v>
      </c>
      <c r="G698" s="7">
        <v>0</v>
      </c>
    </row>
    <row r="699" spans="1:9" x14ac:dyDescent="0.3">
      <c r="A699" s="2"/>
      <c r="B699" s="3" t="s">
        <v>168</v>
      </c>
      <c r="C699" s="3" t="s">
        <v>257</v>
      </c>
      <c r="D699" s="3" t="s">
        <v>281</v>
      </c>
      <c r="E699" s="3" t="s">
        <v>271</v>
      </c>
      <c r="F699" s="6">
        <v>46053</v>
      </c>
      <c r="G699" s="7">
        <v>12336.92</v>
      </c>
      <c r="H699" t="s">
        <v>167</v>
      </c>
      <c r="I699" t="s">
        <v>161</v>
      </c>
    </row>
    <row r="700" spans="1:9" x14ac:dyDescent="0.3">
      <c r="A700" s="2"/>
      <c r="B700" s="3" t="s">
        <v>169</v>
      </c>
      <c r="C700" s="3" t="s">
        <v>257</v>
      </c>
      <c r="D700" s="3" t="s">
        <v>281</v>
      </c>
      <c r="E700" s="3" t="s">
        <v>271</v>
      </c>
      <c r="F700" s="6">
        <v>46053</v>
      </c>
      <c r="G700" s="7">
        <v>16520</v>
      </c>
      <c r="H700" t="s">
        <v>167</v>
      </c>
      <c r="I700" t="s">
        <v>161</v>
      </c>
    </row>
    <row r="701" spans="1:9" x14ac:dyDescent="0.3">
      <c r="A701" s="2"/>
      <c r="B701" s="3" t="s">
        <v>170</v>
      </c>
      <c r="C701" s="3" t="s">
        <v>257</v>
      </c>
      <c r="D701" s="3" t="s">
        <v>273</v>
      </c>
      <c r="E701" s="3" t="s">
        <v>271</v>
      </c>
      <c r="F701" s="6">
        <v>46053</v>
      </c>
      <c r="G701" s="7">
        <v>1851.1</v>
      </c>
      <c r="H701" t="s">
        <v>167</v>
      </c>
      <c r="I701" t="s">
        <v>161</v>
      </c>
    </row>
    <row r="702" spans="1:9" x14ac:dyDescent="0.3">
      <c r="A702" s="2"/>
      <c r="B702" s="3" t="s">
        <v>171</v>
      </c>
      <c r="C702" s="3" t="s">
        <v>257</v>
      </c>
      <c r="D702" s="3" t="s">
        <v>282</v>
      </c>
      <c r="E702" s="3" t="s">
        <v>271</v>
      </c>
      <c r="F702" s="6">
        <v>46053</v>
      </c>
      <c r="G702" s="7">
        <v>967.38</v>
      </c>
      <c r="H702" t="s">
        <v>167</v>
      </c>
      <c r="I702" t="s">
        <v>161</v>
      </c>
    </row>
    <row r="703" spans="1:9" x14ac:dyDescent="0.3">
      <c r="A703" s="2"/>
      <c r="B703" s="3" t="s">
        <v>172</v>
      </c>
      <c r="C703" s="3"/>
      <c r="D703" s="3"/>
      <c r="E703" s="3"/>
      <c r="F703" s="6">
        <v>46053</v>
      </c>
      <c r="G703" s="7">
        <v>31675.4</v>
      </c>
    </row>
    <row r="704" spans="1:9" x14ac:dyDescent="0.3">
      <c r="A704" s="2"/>
      <c r="B704" s="3" t="s">
        <v>173</v>
      </c>
      <c r="C704" s="3" t="s">
        <v>257</v>
      </c>
      <c r="D704" s="3" t="s">
        <v>273</v>
      </c>
      <c r="E704" s="3" t="s">
        <v>271</v>
      </c>
      <c r="F704" s="6">
        <v>46053</v>
      </c>
      <c r="G704" s="7">
        <v>-10555.5</v>
      </c>
      <c r="H704" t="s">
        <v>237</v>
      </c>
      <c r="I704" t="s">
        <v>161</v>
      </c>
    </row>
    <row r="705" spans="1:9" x14ac:dyDescent="0.3">
      <c r="A705" s="2"/>
      <c r="B705" s="3" t="s">
        <v>174</v>
      </c>
      <c r="C705" s="3" t="s">
        <v>257</v>
      </c>
      <c r="D705" s="3" t="s">
        <v>273</v>
      </c>
      <c r="E705" s="3" t="s">
        <v>271</v>
      </c>
      <c r="F705" s="6">
        <v>46053</v>
      </c>
      <c r="G705" s="7">
        <v>250</v>
      </c>
      <c r="H705" t="s">
        <v>167</v>
      </c>
      <c r="I705" t="s">
        <v>161</v>
      </c>
    </row>
    <row r="706" spans="1:9" x14ac:dyDescent="0.3">
      <c r="A706" s="2"/>
      <c r="B706" s="3" t="s">
        <v>175</v>
      </c>
      <c r="C706" s="3"/>
      <c r="D706" s="3"/>
      <c r="E706" s="3"/>
      <c r="F706" s="6">
        <v>46053</v>
      </c>
      <c r="G706" s="7">
        <v>21369.9</v>
      </c>
    </row>
    <row r="707" spans="1:9" x14ac:dyDescent="0.3">
      <c r="A707" s="2"/>
      <c r="B707" s="3" t="s">
        <v>176</v>
      </c>
      <c r="C707" s="3"/>
      <c r="D707" s="3"/>
      <c r="E707" s="3"/>
      <c r="F707" s="6">
        <v>46053</v>
      </c>
      <c r="G707" s="7">
        <v>41738.910000000003</v>
      </c>
    </row>
    <row r="708" spans="1:9" x14ac:dyDescent="0.3">
      <c r="A708" s="2"/>
      <c r="B708" s="3" t="s">
        <v>177</v>
      </c>
      <c r="C708" s="3"/>
      <c r="D708" s="3"/>
      <c r="E708" s="3"/>
      <c r="F708" s="6">
        <v>46053</v>
      </c>
      <c r="G708" s="7">
        <v>0</v>
      </c>
    </row>
    <row r="709" spans="1:9" x14ac:dyDescent="0.3">
      <c r="A709" s="2"/>
      <c r="B709" s="3" t="s">
        <v>178</v>
      </c>
      <c r="C709" s="3" t="s">
        <v>274</v>
      </c>
      <c r="D709" s="3" t="s">
        <v>275</v>
      </c>
      <c r="E709" s="3" t="s">
        <v>271</v>
      </c>
      <c r="F709" s="6">
        <v>46053</v>
      </c>
      <c r="G709" s="7">
        <v>90000</v>
      </c>
      <c r="H709" t="s">
        <v>239</v>
      </c>
      <c r="I709" t="s">
        <v>177</v>
      </c>
    </row>
    <row r="710" spans="1:9" x14ac:dyDescent="0.3">
      <c r="A710" s="2"/>
      <c r="B710" s="3" t="s">
        <v>179</v>
      </c>
      <c r="C710" s="3"/>
      <c r="D710" s="3"/>
      <c r="E710" s="3"/>
      <c r="F710" s="6">
        <v>46053</v>
      </c>
      <c r="G710" s="7">
        <v>90000</v>
      </c>
    </row>
    <row r="711" spans="1:9" x14ac:dyDescent="0.3">
      <c r="A711" s="2"/>
      <c r="B711" s="3" t="s">
        <v>14</v>
      </c>
      <c r="C711" s="3"/>
      <c r="D711" s="3"/>
      <c r="E711" s="3"/>
      <c r="F711" s="6">
        <v>46053</v>
      </c>
      <c r="G711" s="7">
        <v>131738.91</v>
      </c>
    </row>
    <row r="712" spans="1:9" x14ac:dyDescent="0.3">
      <c r="A712" s="2"/>
      <c r="B712" s="3" t="s">
        <v>180</v>
      </c>
      <c r="C712" s="3"/>
      <c r="D712" s="3"/>
      <c r="E712" s="3"/>
      <c r="F712" s="6">
        <v>46053</v>
      </c>
      <c r="G712" s="7">
        <v>0</v>
      </c>
    </row>
    <row r="713" spans="1:9" x14ac:dyDescent="0.3">
      <c r="A713" s="2"/>
      <c r="B713" s="3" t="s">
        <v>181</v>
      </c>
      <c r="C713" s="3" t="s">
        <v>180</v>
      </c>
      <c r="D713" s="3" t="s">
        <v>276</v>
      </c>
      <c r="E713" s="3" t="s">
        <v>180</v>
      </c>
      <c r="F713" s="6">
        <v>46053</v>
      </c>
      <c r="G713" s="7">
        <v>0</v>
      </c>
      <c r="H713" t="s">
        <v>240</v>
      </c>
      <c r="I713" t="s">
        <v>180</v>
      </c>
    </row>
    <row r="714" spans="1:9" x14ac:dyDescent="0.3">
      <c r="A714" s="2"/>
      <c r="B714" s="3" t="s">
        <v>563</v>
      </c>
      <c r="C714" s="3" t="s">
        <v>180</v>
      </c>
      <c r="D714" s="3" t="s">
        <v>277</v>
      </c>
      <c r="E714" s="3" t="s">
        <v>180</v>
      </c>
      <c r="F714" s="6">
        <v>46053</v>
      </c>
      <c r="G714" s="7">
        <v>0</v>
      </c>
      <c r="H714" t="s">
        <v>240</v>
      </c>
      <c r="I714" t="s">
        <v>180</v>
      </c>
    </row>
    <row r="715" spans="1:9" x14ac:dyDescent="0.3">
      <c r="A715" s="2"/>
      <c r="B715" s="3" t="s">
        <v>564</v>
      </c>
      <c r="C715" s="3" t="s">
        <v>180</v>
      </c>
      <c r="D715" s="3" t="s">
        <v>278</v>
      </c>
      <c r="E715" s="3" t="s">
        <v>180</v>
      </c>
      <c r="F715" s="6">
        <v>46053</v>
      </c>
      <c r="G715" s="7">
        <v>-75000</v>
      </c>
      <c r="H715" t="s">
        <v>240</v>
      </c>
      <c r="I715" t="s">
        <v>180</v>
      </c>
    </row>
    <row r="716" spans="1:9" x14ac:dyDescent="0.3">
      <c r="A716" s="2"/>
      <c r="B716" s="3" t="s">
        <v>182</v>
      </c>
      <c r="C716" s="3" t="s">
        <v>180</v>
      </c>
      <c r="D716" s="3" t="s">
        <v>277</v>
      </c>
      <c r="E716" s="3" t="s">
        <v>180</v>
      </c>
      <c r="F716" s="6">
        <v>46053</v>
      </c>
      <c r="G716" s="7">
        <v>234465.82</v>
      </c>
      <c r="H716" t="s">
        <v>240</v>
      </c>
      <c r="I716" t="s">
        <v>180</v>
      </c>
    </row>
    <row r="717" spans="1:9" x14ac:dyDescent="0.3">
      <c r="A717" s="2"/>
      <c r="B717" s="3" t="s">
        <v>565</v>
      </c>
      <c r="C717" s="3"/>
      <c r="D717" s="3"/>
      <c r="E717" s="3"/>
      <c r="F717" s="6">
        <v>46053</v>
      </c>
      <c r="G717" s="7">
        <v>159465.82</v>
      </c>
    </row>
    <row r="718" spans="1:9" x14ac:dyDescent="0.3">
      <c r="A718" s="2"/>
      <c r="B718" s="3" t="s">
        <v>566</v>
      </c>
      <c r="C718" s="3" t="s">
        <v>180</v>
      </c>
      <c r="D718" s="3" t="s">
        <v>277</v>
      </c>
      <c r="E718" s="3" t="s">
        <v>180</v>
      </c>
      <c r="F718" s="6">
        <v>46053</v>
      </c>
      <c r="G718" s="7">
        <v>0</v>
      </c>
      <c r="H718" t="s">
        <v>240</v>
      </c>
      <c r="I718" t="s">
        <v>180</v>
      </c>
    </row>
    <row r="719" spans="1:9" x14ac:dyDescent="0.3">
      <c r="A719" s="2"/>
      <c r="B719" s="3" t="s">
        <v>183</v>
      </c>
      <c r="C719" s="3" t="s">
        <v>180</v>
      </c>
      <c r="D719" s="3" t="s">
        <v>280</v>
      </c>
      <c r="E719" s="3" t="s">
        <v>180</v>
      </c>
      <c r="F719" s="6">
        <v>46053</v>
      </c>
      <c r="G719" s="7">
        <v>-75000</v>
      </c>
      <c r="H719" t="s">
        <v>240</v>
      </c>
      <c r="I719" t="s">
        <v>180</v>
      </c>
    </row>
    <row r="720" spans="1:9" x14ac:dyDescent="0.3">
      <c r="A720" s="2"/>
      <c r="B720" s="3" t="s">
        <v>184</v>
      </c>
      <c r="C720" s="3" t="s">
        <v>180</v>
      </c>
      <c r="D720" s="3" t="s">
        <v>277</v>
      </c>
      <c r="E720" s="3" t="s">
        <v>180</v>
      </c>
      <c r="F720" s="6">
        <v>46053</v>
      </c>
      <c r="G720" s="7">
        <v>234465.81</v>
      </c>
      <c r="H720" t="s">
        <v>240</v>
      </c>
      <c r="I720" t="s">
        <v>180</v>
      </c>
    </row>
    <row r="721" spans="1:9" x14ac:dyDescent="0.3">
      <c r="A721" s="2"/>
      <c r="B721" s="3" t="s">
        <v>567</v>
      </c>
      <c r="C721" s="3"/>
      <c r="D721" s="3"/>
      <c r="E721" s="3"/>
      <c r="F721" s="6">
        <v>46053</v>
      </c>
      <c r="G721" s="7">
        <v>159465.81</v>
      </c>
    </row>
    <row r="722" spans="1:9" x14ac:dyDescent="0.3">
      <c r="A722" s="2"/>
      <c r="B722" s="3" t="s">
        <v>185</v>
      </c>
      <c r="C722" s="3" t="s">
        <v>180</v>
      </c>
      <c r="D722" s="3" t="s">
        <v>279</v>
      </c>
      <c r="E722" s="3" t="s">
        <v>180</v>
      </c>
      <c r="F722" s="6">
        <v>46053</v>
      </c>
      <c r="G722" s="7">
        <v>0</v>
      </c>
      <c r="H722" t="s">
        <v>240</v>
      </c>
      <c r="I722" t="s">
        <v>180</v>
      </c>
    </row>
    <row r="723" spans="1:9" x14ac:dyDescent="0.3">
      <c r="A723" s="2"/>
      <c r="B723" s="3" t="s">
        <v>186</v>
      </c>
      <c r="C723" s="3" t="s">
        <v>180</v>
      </c>
      <c r="D723" s="3" t="s">
        <v>278</v>
      </c>
      <c r="E723" s="3" t="s">
        <v>180</v>
      </c>
      <c r="F723" s="6">
        <v>46053</v>
      </c>
      <c r="G723" s="7">
        <v>0</v>
      </c>
    </row>
    <row r="724" spans="1:9" x14ac:dyDescent="0.3">
      <c r="A724" s="2"/>
      <c r="B724" s="3" t="s">
        <v>12</v>
      </c>
      <c r="C724" s="3" t="s">
        <v>180</v>
      </c>
      <c r="D724" s="3"/>
      <c r="E724" s="3" t="s">
        <v>180</v>
      </c>
      <c r="F724" s="6">
        <v>46053</v>
      </c>
      <c r="G724" s="7">
        <v>22033.5</v>
      </c>
    </row>
    <row r="725" spans="1:9" x14ac:dyDescent="0.3">
      <c r="A725" s="2"/>
      <c r="B725" s="3" t="s">
        <v>15</v>
      </c>
      <c r="C725" s="3"/>
      <c r="D725" s="3"/>
      <c r="E725" s="3"/>
      <c r="F725" s="6">
        <v>46053</v>
      </c>
      <c r="G725" s="7">
        <v>340965.13</v>
      </c>
    </row>
    <row r="726" spans="1:9" x14ac:dyDescent="0.3">
      <c r="A726" s="2"/>
      <c r="B726" s="3" t="s">
        <v>187</v>
      </c>
      <c r="C726" s="3"/>
      <c r="D726" s="3"/>
      <c r="E726" s="3"/>
      <c r="F726" s="6">
        <v>46053</v>
      </c>
      <c r="G726" s="7">
        <v>472704.04</v>
      </c>
    </row>
    <row r="727" spans="1:9" x14ac:dyDescent="0.3">
      <c r="A727" s="2"/>
      <c r="B727" s="3" t="s">
        <v>136</v>
      </c>
      <c r="C727" s="3"/>
      <c r="D727" s="3"/>
      <c r="E727" s="3"/>
      <c r="F727" s="6">
        <v>46081</v>
      </c>
      <c r="G727" s="7">
        <v>0</v>
      </c>
    </row>
    <row r="728" spans="1:9" x14ac:dyDescent="0.3">
      <c r="A728" s="2"/>
      <c r="B728" s="3" t="s">
        <v>137</v>
      </c>
      <c r="C728" s="3"/>
      <c r="D728" s="3"/>
      <c r="E728" s="3"/>
      <c r="F728" s="6">
        <v>46081</v>
      </c>
      <c r="G728" s="7">
        <v>0</v>
      </c>
    </row>
    <row r="729" spans="1:9" x14ac:dyDescent="0.3">
      <c r="A729" s="2"/>
      <c r="B729" s="3" t="s">
        <v>138</v>
      </c>
      <c r="C729" s="3"/>
      <c r="D729" s="3"/>
      <c r="E729" s="3"/>
      <c r="F729" s="6">
        <v>46081</v>
      </c>
      <c r="G729" s="7">
        <v>0</v>
      </c>
    </row>
    <row r="730" spans="1:9" x14ac:dyDescent="0.3">
      <c r="A730" s="2"/>
      <c r="B730" s="3" t="s">
        <v>553</v>
      </c>
      <c r="C730" s="3" t="s">
        <v>254</v>
      </c>
      <c r="D730" s="3" t="s">
        <v>262</v>
      </c>
      <c r="E730" s="3" t="s">
        <v>263</v>
      </c>
      <c r="F730" s="6">
        <v>46081</v>
      </c>
      <c r="G730" s="7">
        <v>191196.36</v>
      </c>
      <c r="H730" t="s">
        <v>232</v>
      </c>
      <c r="I730" t="s">
        <v>137</v>
      </c>
    </row>
    <row r="731" spans="1:9" x14ac:dyDescent="0.3">
      <c r="A731" s="2"/>
      <c r="B731" s="3" t="s">
        <v>554</v>
      </c>
      <c r="C731" s="3" t="s">
        <v>254</v>
      </c>
      <c r="D731" s="3" t="s">
        <v>262</v>
      </c>
      <c r="E731" s="3" t="s">
        <v>263</v>
      </c>
      <c r="F731" s="6">
        <v>46081</v>
      </c>
      <c r="G731" s="7">
        <v>15000</v>
      </c>
      <c r="H731" t="s">
        <v>232</v>
      </c>
      <c r="I731" t="s">
        <v>137</v>
      </c>
    </row>
    <row r="732" spans="1:9" x14ac:dyDescent="0.3">
      <c r="A732" s="2"/>
      <c r="B732" s="3" t="s">
        <v>139</v>
      </c>
      <c r="C732" s="3"/>
      <c r="D732" s="3"/>
      <c r="E732" s="3"/>
      <c r="F732" s="6">
        <v>46081</v>
      </c>
      <c r="G732" s="7">
        <v>206196.36</v>
      </c>
    </row>
    <row r="733" spans="1:9" x14ac:dyDescent="0.3">
      <c r="A733" s="2"/>
      <c r="B733" s="3" t="s">
        <v>140</v>
      </c>
      <c r="C733" s="3"/>
      <c r="D733" s="3"/>
      <c r="E733" s="3"/>
      <c r="F733" s="6">
        <v>46081</v>
      </c>
      <c r="G733" s="7">
        <v>0</v>
      </c>
    </row>
    <row r="734" spans="1:9" x14ac:dyDescent="0.3">
      <c r="A734" s="2"/>
      <c r="B734" s="3" t="s">
        <v>141</v>
      </c>
      <c r="C734" s="3" t="s">
        <v>140</v>
      </c>
      <c r="D734" s="3" t="s">
        <v>264</v>
      </c>
      <c r="E734" s="3" t="s">
        <v>263</v>
      </c>
      <c r="F734" s="6">
        <v>46081</v>
      </c>
      <c r="G734" s="7">
        <v>107461.88</v>
      </c>
      <c r="H734" t="s">
        <v>233</v>
      </c>
      <c r="I734" t="s">
        <v>137</v>
      </c>
    </row>
    <row r="735" spans="1:9" x14ac:dyDescent="0.3">
      <c r="A735" s="2"/>
      <c r="B735" s="3" t="s">
        <v>142</v>
      </c>
      <c r="C735" s="3"/>
      <c r="D735" s="3"/>
      <c r="E735" s="3"/>
      <c r="F735" s="6">
        <v>46081</v>
      </c>
      <c r="G735" s="7">
        <v>107461.88</v>
      </c>
    </row>
    <row r="736" spans="1:9" x14ac:dyDescent="0.3">
      <c r="A736" s="2"/>
      <c r="B736" s="3" t="s">
        <v>143</v>
      </c>
      <c r="C736" s="3" t="s">
        <v>255</v>
      </c>
      <c r="D736" s="3" t="s">
        <v>265</v>
      </c>
      <c r="E736" s="3" t="s">
        <v>263</v>
      </c>
      <c r="F736" s="6">
        <v>46081</v>
      </c>
      <c r="G736" s="7">
        <v>0</v>
      </c>
    </row>
    <row r="737" spans="1:9" x14ac:dyDescent="0.3">
      <c r="A737" s="2"/>
      <c r="B737" s="3" t="s">
        <v>144</v>
      </c>
      <c r="C737" s="3" t="s">
        <v>255</v>
      </c>
      <c r="D737" s="3" t="s">
        <v>265</v>
      </c>
      <c r="E737" s="3" t="s">
        <v>263</v>
      </c>
      <c r="F737" s="6">
        <v>46081</v>
      </c>
      <c r="G737" s="7">
        <v>469.15</v>
      </c>
      <c r="H737" t="s">
        <v>143</v>
      </c>
      <c r="I737" t="s">
        <v>137</v>
      </c>
    </row>
    <row r="738" spans="1:9" x14ac:dyDescent="0.3">
      <c r="A738" s="2"/>
      <c r="B738" s="3" t="s">
        <v>145</v>
      </c>
      <c r="C738" s="3" t="s">
        <v>255</v>
      </c>
      <c r="D738" s="3" t="s">
        <v>265</v>
      </c>
      <c r="E738" s="3" t="s">
        <v>263</v>
      </c>
      <c r="F738" s="6">
        <v>46081</v>
      </c>
      <c r="G738" s="7">
        <v>74.92</v>
      </c>
      <c r="H738" t="s">
        <v>143</v>
      </c>
      <c r="I738" t="s">
        <v>137</v>
      </c>
    </row>
    <row r="739" spans="1:9" x14ac:dyDescent="0.3">
      <c r="A739" s="2"/>
      <c r="B739" s="3" t="s">
        <v>146</v>
      </c>
      <c r="C739" s="3" t="s">
        <v>255</v>
      </c>
      <c r="D739" s="3" t="s">
        <v>266</v>
      </c>
      <c r="E739" s="3" t="s">
        <v>263</v>
      </c>
      <c r="F739" s="6">
        <v>46081</v>
      </c>
      <c r="G739" s="7">
        <v>0</v>
      </c>
      <c r="H739" t="s">
        <v>143</v>
      </c>
      <c r="I739" t="s">
        <v>137</v>
      </c>
    </row>
    <row r="740" spans="1:9" x14ac:dyDescent="0.3">
      <c r="A740" s="2"/>
      <c r="B740" s="3" t="s">
        <v>147</v>
      </c>
      <c r="C740" s="3" t="s">
        <v>255</v>
      </c>
      <c r="D740" s="3" t="s">
        <v>265</v>
      </c>
      <c r="E740" s="3" t="s">
        <v>263</v>
      </c>
      <c r="F740" s="6">
        <v>46081</v>
      </c>
      <c r="G740" s="7">
        <v>9827.67</v>
      </c>
      <c r="H740" t="s">
        <v>143</v>
      </c>
      <c r="I740" t="s">
        <v>137</v>
      </c>
    </row>
    <row r="741" spans="1:9" x14ac:dyDescent="0.3">
      <c r="A741" s="2"/>
      <c r="B741" s="3" t="s">
        <v>562</v>
      </c>
      <c r="C741" s="3" t="s">
        <v>255</v>
      </c>
      <c r="D741" s="3" t="s">
        <v>266</v>
      </c>
      <c r="E741" s="3" t="s">
        <v>263</v>
      </c>
      <c r="F741" s="6">
        <v>46081</v>
      </c>
      <c r="G741" s="7">
        <v>9724.36</v>
      </c>
      <c r="H741" t="s">
        <v>143</v>
      </c>
      <c r="I741" t="s">
        <v>137</v>
      </c>
    </row>
    <row r="742" spans="1:9" x14ac:dyDescent="0.3">
      <c r="A742" s="2"/>
      <c r="B742" s="3" t="s">
        <v>149</v>
      </c>
      <c r="C742" s="3"/>
      <c r="D742" s="3"/>
      <c r="E742" s="3"/>
      <c r="F742" s="6">
        <v>46081</v>
      </c>
      <c r="G742" s="7">
        <v>19552.03</v>
      </c>
    </row>
    <row r="743" spans="1:9" x14ac:dyDescent="0.3">
      <c r="A743" s="2"/>
      <c r="B743" s="3" t="s">
        <v>150</v>
      </c>
      <c r="C743" s="3" t="s">
        <v>255</v>
      </c>
      <c r="D743" s="3" t="s">
        <v>265</v>
      </c>
      <c r="E743" s="3" t="s">
        <v>263</v>
      </c>
      <c r="F743" s="6">
        <v>46081</v>
      </c>
      <c r="G743" s="7">
        <v>0</v>
      </c>
      <c r="H743" t="s">
        <v>143</v>
      </c>
      <c r="I743" t="s">
        <v>137</v>
      </c>
    </row>
    <row r="744" spans="1:9" x14ac:dyDescent="0.3">
      <c r="A744" s="2"/>
      <c r="B744" s="3" t="s">
        <v>151</v>
      </c>
      <c r="C744" s="3" t="s">
        <v>255</v>
      </c>
      <c r="D744" s="3" t="s">
        <v>267</v>
      </c>
      <c r="E744" s="3" t="s">
        <v>263</v>
      </c>
      <c r="F744" s="6">
        <v>46081</v>
      </c>
      <c r="G744" s="7">
        <v>0</v>
      </c>
      <c r="H744" t="s">
        <v>143</v>
      </c>
      <c r="I744" t="s">
        <v>137</v>
      </c>
    </row>
    <row r="745" spans="1:9" x14ac:dyDescent="0.3">
      <c r="A745" s="2"/>
      <c r="B745" s="3" t="s">
        <v>152</v>
      </c>
      <c r="C745" s="3"/>
      <c r="D745" s="3"/>
      <c r="E745" s="3"/>
      <c r="F745" s="6">
        <v>46081</v>
      </c>
      <c r="G745" s="7">
        <v>20096.099999999999</v>
      </c>
    </row>
    <row r="746" spans="1:9" x14ac:dyDescent="0.3">
      <c r="A746" s="2"/>
      <c r="B746" s="3" t="s">
        <v>153</v>
      </c>
      <c r="C746" s="3"/>
      <c r="D746" s="3"/>
      <c r="E746" s="3"/>
      <c r="F746" s="6">
        <v>46081</v>
      </c>
      <c r="G746" s="7">
        <v>333754.34000000003</v>
      </c>
    </row>
    <row r="747" spans="1:9" x14ac:dyDescent="0.3">
      <c r="A747" s="2"/>
      <c r="B747" s="3" t="s">
        <v>154</v>
      </c>
      <c r="C747" s="3"/>
      <c r="D747" s="3"/>
      <c r="E747" s="3"/>
      <c r="F747" s="6">
        <v>46081</v>
      </c>
      <c r="G747" s="7">
        <v>0</v>
      </c>
    </row>
    <row r="748" spans="1:9" x14ac:dyDescent="0.3">
      <c r="A748" s="2"/>
      <c r="B748" s="3" t="s">
        <v>155</v>
      </c>
      <c r="C748" s="3" t="s">
        <v>268</v>
      </c>
      <c r="D748" s="3" t="s">
        <v>269</v>
      </c>
      <c r="E748" s="3" t="s">
        <v>263</v>
      </c>
      <c r="F748" s="6">
        <v>46081</v>
      </c>
      <c r="G748" s="7">
        <v>0</v>
      </c>
      <c r="H748" t="s">
        <v>235</v>
      </c>
      <c r="I748" t="s">
        <v>234</v>
      </c>
    </row>
    <row r="749" spans="1:9" x14ac:dyDescent="0.3">
      <c r="A749" s="2"/>
      <c r="B749" s="3" t="s">
        <v>542</v>
      </c>
      <c r="C749" s="3" t="s">
        <v>268</v>
      </c>
      <c r="D749" s="3" t="s">
        <v>269</v>
      </c>
      <c r="E749" s="3" t="s">
        <v>263</v>
      </c>
      <c r="F749" s="6">
        <v>46081</v>
      </c>
      <c r="G749" s="7">
        <v>100000</v>
      </c>
      <c r="H749" t="s">
        <v>235</v>
      </c>
      <c r="I749" t="s">
        <v>234</v>
      </c>
    </row>
    <row r="750" spans="1:9" x14ac:dyDescent="0.3">
      <c r="A750" s="2"/>
      <c r="B750" s="3" t="s">
        <v>156</v>
      </c>
      <c r="C750" s="3"/>
      <c r="D750" s="3"/>
      <c r="E750" s="3"/>
      <c r="F750" s="6">
        <v>46081</v>
      </c>
      <c r="G750" s="7">
        <v>100000</v>
      </c>
    </row>
    <row r="751" spans="1:9" x14ac:dyDescent="0.3">
      <c r="A751" s="2"/>
      <c r="B751" s="3" t="s">
        <v>157</v>
      </c>
      <c r="C751" s="3"/>
      <c r="D751" s="3"/>
      <c r="E751" s="3"/>
      <c r="F751" s="6">
        <v>46081</v>
      </c>
      <c r="G751" s="7">
        <v>100000</v>
      </c>
    </row>
    <row r="752" spans="1:9" x14ac:dyDescent="0.3">
      <c r="A752" s="2"/>
      <c r="B752" s="3" t="s">
        <v>158</v>
      </c>
      <c r="C752" s="3"/>
      <c r="D752" s="3"/>
      <c r="E752" s="3"/>
      <c r="F752" s="6">
        <v>46081</v>
      </c>
      <c r="G752" s="7">
        <v>433754.34</v>
      </c>
    </row>
    <row r="753" spans="1:9" x14ac:dyDescent="0.3">
      <c r="A753" s="2"/>
      <c r="B753" s="3" t="s">
        <v>159</v>
      </c>
      <c r="C753" s="3"/>
      <c r="D753" s="3"/>
      <c r="E753" s="3"/>
      <c r="F753" s="6">
        <v>46081</v>
      </c>
      <c r="G753" s="7">
        <v>0</v>
      </c>
    </row>
    <row r="754" spans="1:9" x14ac:dyDescent="0.3">
      <c r="A754" s="2"/>
      <c r="B754" s="3" t="s">
        <v>160</v>
      </c>
      <c r="C754" s="3"/>
      <c r="D754" s="3"/>
      <c r="E754" s="3"/>
      <c r="F754" s="6">
        <v>46081</v>
      </c>
      <c r="G754" s="7">
        <v>0</v>
      </c>
    </row>
    <row r="755" spans="1:9" x14ac:dyDescent="0.3">
      <c r="A755" s="2"/>
      <c r="B755" s="3" t="s">
        <v>161</v>
      </c>
      <c r="C755" s="3"/>
      <c r="D755" s="3"/>
      <c r="E755" s="3"/>
      <c r="F755" s="6">
        <v>46081</v>
      </c>
      <c r="G755" s="7">
        <v>0</v>
      </c>
    </row>
    <row r="756" spans="1:9" x14ac:dyDescent="0.3">
      <c r="A756" s="2"/>
      <c r="B756" s="3" t="s">
        <v>162</v>
      </c>
      <c r="C756" s="3"/>
      <c r="D756" s="3"/>
      <c r="E756" s="3"/>
      <c r="F756" s="6">
        <v>46081</v>
      </c>
      <c r="G756" s="7">
        <v>0</v>
      </c>
    </row>
    <row r="757" spans="1:9" x14ac:dyDescent="0.3">
      <c r="A757" s="2"/>
      <c r="B757" s="3" t="s">
        <v>163</v>
      </c>
      <c r="C757" s="3" t="s">
        <v>162</v>
      </c>
      <c r="D757" s="3" t="s">
        <v>270</v>
      </c>
      <c r="E757" s="3" t="s">
        <v>271</v>
      </c>
      <c r="F757" s="6">
        <v>46081</v>
      </c>
      <c r="G757" s="7">
        <v>18626.28</v>
      </c>
      <c r="H757" t="s">
        <v>162</v>
      </c>
      <c r="I757" t="s">
        <v>161</v>
      </c>
    </row>
    <row r="758" spans="1:9" x14ac:dyDescent="0.3">
      <c r="A758" s="2"/>
      <c r="B758" s="3" t="s">
        <v>164</v>
      </c>
      <c r="C758" s="3"/>
      <c r="D758" s="3"/>
      <c r="E758" s="3"/>
      <c r="F758" s="6">
        <v>46081</v>
      </c>
      <c r="G758" s="7">
        <v>18626.28</v>
      </c>
    </row>
    <row r="759" spans="1:9" x14ac:dyDescent="0.3">
      <c r="A759" s="2"/>
      <c r="B759" s="3" t="s">
        <v>165</v>
      </c>
      <c r="C759" s="3" t="s">
        <v>256</v>
      </c>
      <c r="D759" s="3" t="s">
        <v>272</v>
      </c>
      <c r="E759" s="3" t="s">
        <v>271</v>
      </c>
      <c r="F759" s="6">
        <v>46081</v>
      </c>
      <c r="G759" s="7">
        <v>0</v>
      </c>
    </row>
    <row r="760" spans="1:9" x14ac:dyDescent="0.3">
      <c r="A760" s="2"/>
      <c r="B760" s="3" t="s">
        <v>545</v>
      </c>
      <c r="C760" s="3" t="s">
        <v>256</v>
      </c>
      <c r="D760" s="3" t="s">
        <v>272</v>
      </c>
      <c r="E760" s="3" t="s">
        <v>271</v>
      </c>
      <c r="F760" s="6">
        <v>46081</v>
      </c>
      <c r="G760" s="7">
        <v>5471.05</v>
      </c>
      <c r="H760" t="s">
        <v>162</v>
      </c>
      <c r="I760" t="s">
        <v>161</v>
      </c>
    </row>
    <row r="761" spans="1:9" x14ac:dyDescent="0.3">
      <c r="A761" s="2"/>
      <c r="B761" s="3" t="s">
        <v>546</v>
      </c>
      <c r="C761" s="3" t="s">
        <v>256</v>
      </c>
      <c r="D761" s="3" t="s">
        <v>272</v>
      </c>
      <c r="E761" s="3" t="s">
        <v>271</v>
      </c>
      <c r="F761" s="6">
        <v>46081</v>
      </c>
      <c r="G761" s="7">
        <v>0</v>
      </c>
      <c r="H761" t="s">
        <v>162</v>
      </c>
      <c r="I761" t="s">
        <v>161</v>
      </c>
    </row>
    <row r="762" spans="1:9" x14ac:dyDescent="0.3">
      <c r="A762" s="2"/>
      <c r="B762" s="3" t="s">
        <v>547</v>
      </c>
      <c r="C762" s="3" t="s">
        <v>256</v>
      </c>
      <c r="D762" s="3" t="s">
        <v>272</v>
      </c>
      <c r="E762" s="3" t="s">
        <v>271</v>
      </c>
      <c r="F762" s="6">
        <v>46081</v>
      </c>
      <c r="G762" s="7">
        <v>1446.69</v>
      </c>
      <c r="H762" t="s">
        <v>162</v>
      </c>
      <c r="I762" t="s">
        <v>161</v>
      </c>
    </row>
    <row r="763" spans="1:9" x14ac:dyDescent="0.3">
      <c r="A763" s="2"/>
      <c r="B763" s="3" t="s">
        <v>166</v>
      </c>
      <c r="C763" s="3"/>
      <c r="D763" s="3"/>
      <c r="E763" s="3"/>
      <c r="F763" s="6">
        <v>46081</v>
      </c>
      <c r="G763" s="7">
        <v>6917.74</v>
      </c>
    </row>
    <row r="764" spans="1:9" x14ac:dyDescent="0.3">
      <c r="A764" s="2"/>
      <c r="B764" s="3" t="s">
        <v>167</v>
      </c>
      <c r="C764" s="3"/>
      <c r="D764" s="3"/>
      <c r="E764" s="3"/>
      <c r="F764" s="6">
        <v>46081</v>
      </c>
      <c r="G764" s="7">
        <v>0</v>
      </c>
    </row>
    <row r="765" spans="1:9" x14ac:dyDescent="0.3">
      <c r="A765" s="2"/>
      <c r="B765" s="3" t="s">
        <v>168</v>
      </c>
      <c r="C765" s="3" t="s">
        <v>257</v>
      </c>
      <c r="D765" s="3" t="s">
        <v>281</v>
      </c>
      <c r="E765" s="3" t="s">
        <v>271</v>
      </c>
      <c r="F765" s="6">
        <v>46081</v>
      </c>
      <c r="G765" s="7">
        <v>8452.7999999999993</v>
      </c>
      <c r="H765" t="s">
        <v>167</v>
      </c>
      <c r="I765" t="s">
        <v>161</v>
      </c>
    </row>
    <row r="766" spans="1:9" x14ac:dyDescent="0.3">
      <c r="A766" s="2"/>
      <c r="B766" s="3" t="s">
        <v>169</v>
      </c>
      <c r="C766" s="3" t="s">
        <v>257</v>
      </c>
      <c r="D766" s="3" t="s">
        <v>281</v>
      </c>
      <c r="E766" s="3" t="s">
        <v>271</v>
      </c>
      <c r="F766" s="6">
        <v>46081</v>
      </c>
      <c r="G766" s="7">
        <v>17437.03</v>
      </c>
      <c r="H766" t="s">
        <v>167</v>
      </c>
      <c r="I766" t="s">
        <v>161</v>
      </c>
    </row>
    <row r="767" spans="1:9" x14ac:dyDescent="0.3">
      <c r="A767" s="2"/>
      <c r="B767" s="3" t="s">
        <v>170</v>
      </c>
      <c r="C767" s="3" t="s">
        <v>257</v>
      </c>
      <c r="D767" s="3" t="s">
        <v>273</v>
      </c>
      <c r="E767" s="3" t="s">
        <v>271</v>
      </c>
      <c r="F767" s="6">
        <v>46081</v>
      </c>
      <c r="G767" s="7">
        <v>1851.11</v>
      </c>
      <c r="H767" t="s">
        <v>167</v>
      </c>
      <c r="I767" t="s">
        <v>161</v>
      </c>
    </row>
    <row r="768" spans="1:9" x14ac:dyDescent="0.3">
      <c r="A768" s="2"/>
      <c r="B768" s="3" t="s">
        <v>171</v>
      </c>
      <c r="C768" s="3" t="s">
        <v>257</v>
      </c>
      <c r="D768" s="3" t="s">
        <v>282</v>
      </c>
      <c r="E768" s="3" t="s">
        <v>271</v>
      </c>
      <c r="F768" s="6">
        <v>46081</v>
      </c>
      <c r="G768" s="7">
        <v>994.69</v>
      </c>
      <c r="H768" t="s">
        <v>167</v>
      </c>
      <c r="I768" t="s">
        <v>161</v>
      </c>
    </row>
    <row r="769" spans="1:9" x14ac:dyDescent="0.3">
      <c r="A769" s="2"/>
      <c r="B769" s="3" t="s">
        <v>172</v>
      </c>
      <c r="C769" s="3"/>
      <c r="D769" s="3"/>
      <c r="E769" s="3"/>
      <c r="F769" s="6">
        <v>46081</v>
      </c>
      <c r="G769" s="7">
        <v>28735.63</v>
      </c>
    </row>
    <row r="770" spans="1:9" x14ac:dyDescent="0.3">
      <c r="A770" s="2"/>
      <c r="B770" s="3" t="s">
        <v>173</v>
      </c>
      <c r="C770" s="3" t="s">
        <v>257</v>
      </c>
      <c r="D770" s="3" t="s">
        <v>273</v>
      </c>
      <c r="E770" s="3" t="s">
        <v>271</v>
      </c>
      <c r="F770" s="6">
        <v>46081</v>
      </c>
      <c r="G770" s="7">
        <v>-68719.210000000006</v>
      </c>
      <c r="H770" t="s">
        <v>237</v>
      </c>
      <c r="I770" t="s">
        <v>161</v>
      </c>
    </row>
    <row r="771" spans="1:9" x14ac:dyDescent="0.3">
      <c r="A771" s="2"/>
      <c r="B771" s="3" t="s">
        <v>174</v>
      </c>
      <c r="C771" s="3" t="s">
        <v>257</v>
      </c>
      <c r="D771" s="3" t="s">
        <v>273</v>
      </c>
      <c r="E771" s="3" t="s">
        <v>271</v>
      </c>
      <c r="F771" s="6">
        <v>46081</v>
      </c>
      <c r="G771" s="7">
        <v>0</v>
      </c>
      <c r="H771" t="s">
        <v>167</v>
      </c>
      <c r="I771" t="s">
        <v>161</v>
      </c>
    </row>
    <row r="772" spans="1:9" x14ac:dyDescent="0.3">
      <c r="A772" s="2"/>
      <c r="B772" s="3" t="s">
        <v>175</v>
      </c>
      <c r="C772" s="3"/>
      <c r="D772" s="3"/>
      <c r="E772" s="3"/>
      <c r="F772" s="6">
        <v>46081</v>
      </c>
      <c r="G772" s="7">
        <v>-39983.58</v>
      </c>
    </row>
    <row r="773" spans="1:9" x14ac:dyDescent="0.3">
      <c r="A773" s="2"/>
      <c r="B773" s="3" t="s">
        <v>176</v>
      </c>
      <c r="C773" s="3"/>
      <c r="D773" s="3"/>
      <c r="E773" s="3"/>
      <c r="F773" s="6">
        <v>46081</v>
      </c>
      <c r="G773" s="7">
        <v>-14439.56</v>
      </c>
    </row>
    <row r="774" spans="1:9" x14ac:dyDescent="0.3">
      <c r="A774" s="2"/>
      <c r="B774" s="3" t="s">
        <v>177</v>
      </c>
      <c r="C774" s="3"/>
      <c r="D774" s="3"/>
      <c r="E774" s="3"/>
      <c r="F774" s="6">
        <v>46081</v>
      </c>
      <c r="G774" s="7">
        <v>0</v>
      </c>
    </row>
    <row r="775" spans="1:9" x14ac:dyDescent="0.3">
      <c r="A775" s="2"/>
      <c r="B775" s="3" t="s">
        <v>178</v>
      </c>
      <c r="C775" s="3" t="s">
        <v>274</v>
      </c>
      <c r="D775" s="3" t="s">
        <v>275</v>
      </c>
      <c r="E775" s="3" t="s">
        <v>271</v>
      </c>
      <c r="F775" s="6">
        <v>46081</v>
      </c>
      <c r="G775" s="7">
        <v>90000</v>
      </c>
      <c r="H775" t="s">
        <v>239</v>
      </c>
      <c r="I775" t="s">
        <v>177</v>
      </c>
    </row>
    <row r="776" spans="1:9" x14ac:dyDescent="0.3">
      <c r="A776" s="2"/>
      <c r="B776" s="3" t="s">
        <v>179</v>
      </c>
      <c r="C776" s="3"/>
      <c r="D776" s="3"/>
      <c r="E776" s="3"/>
      <c r="F776" s="6">
        <v>46081</v>
      </c>
      <c r="G776" s="7">
        <v>90000</v>
      </c>
    </row>
    <row r="777" spans="1:9" x14ac:dyDescent="0.3">
      <c r="A777" s="2"/>
      <c r="B777" s="3" t="s">
        <v>14</v>
      </c>
      <c r="C777" s="3"/>
      <c r="D777" s="3"/>
      <c r="E777" s="3"/>
      <c r="F777" s="6">
        <v>46081</v>
      </c>
      <c r="G777" s="7">
        <v>75560.44</v>
      </c>
    </row>
    <row r="778" spans="1:9" x14ac:dyDescent="0.3">
      <c r="A778" s="2"/>
      <c r="B778" s="3" t="s">
        <v>180</v>
      </c>
      <c r="C778" s="3"/>
      <c r="D778" s="3"/>
      <c r="E778" s="3"/>
      <c r="F778" s="6">
        <v>46081</v>
      </c>
      <c r="G778" s="7">
        <v>0</v>
      </c>
    </row>
    <row r="779" spans="1:9" x14ac:dyDescent="0.3">
      <c r="A779" s="2"/>
      <c r="B779" s="3" t="s">
        <v>181</v>
      </c>
      <c r="C779" s="3" t="s">
        <v>180</v>
      </c>
      <c r="D779" s="3" t="s">
        <v>276</v>
      </c>
      <c r="E779" s="3" t="s">
        <v>180</v>
      </c>
      <c r="F779" s="6">
        <v>46081</v>
      </c>
      <c r="G779" s="7">
        <v>0</v>
      </c>
      <c r="H779" t="s">
        <v>240</v>
      </c>
      <c r="I779" t="s">
        <v>180</v>
      </c>
    </row>
    <row r="780" spans="1:9" x14ac:dyDescent="0.3">
      <c r="A780" s="2"/>
      <c r="B780" s="3" t="s">
        <v>563</v>
      </c>
      <c r="C780" s="3" t="s">
        <v>180</v>
      </c>
      <c r="D780" s="3" t="s">
        <v>277</v>
      </c>
      <c r="E780" s="3" t="s">
        <v>180</v>
      </c>
      <c r="F780" s="6">
        <v>46081</v>
      </c>
      <c r="G780" s="7">
        <v>0</v>
      </c>
      <c r="H780" t="s">
        <v>240</v>
      </c>
      <c r="I780" t="s">
        <v>180</v>
      </c>
    </row>
    <row r="781" spans="1:9" x14ac:dyDescent="0.3">
      <c r="A781" s="2"/>
      <c r="B781" s="3" t="s">
        <v>564</v>
      </c>
      <c r="C781" s="3" t="s">
        <v>180</v>
      </c>
      <c r="D781" s="3" t="s">
        <v>278</v>
      </c>
      <c r="E781" s="3" t="s">
        <v>180</v>
      </c>
      <c r="F781" s="6">
        <v>46081</v>
      </c>
      <c r="G781" s="7">
        <v>-75000</v>
      </c>
      <c r="H781" t="s">
        <v>240</v>
      </c>
      <c r="I781" t="s">
        <v>180</v>
      </c>
    </row>
    <row r="782" spans="1:9" x14ac:dyDescent="0.3">
      <c r="A782" s="2"/>
      <c r="B782" s="3" t="s">
        <v>182</v>
      </c>
      <c r="C782" s="3" t="s">
        <v>180</v>
      </c>
      <c r="D782" s="3" t="s">
        <v>277</v>
      </c>
      <c r="E782" s="3" t="s">
        <v>180</v>
      </c>
      <c r="F782" s="6">
        <v>46081</v>
      </c>
      <c r="G782" s="7">
        <v>234465.82</v>
      </c>
      <c r="H782" t="s">
        <v>240</v>
      </c>
      <c r="I782" t="s">
        <v>180</v>
      </c>
    </row>
    <row r="783" spans="1:9" x14ac:dyDescent="0.3">
      <c r="A783" s="2"/>
      <c r="B783" s="3" t="s">
        <v>565</v>
      </c>
      <c r="C783" s="3"/>
      <c r="D783" s="3"/>
      <c r="E783" s="3"/>
      <c r="F783" s="6">
        <v>46081</v>
      </c>
      <c r="G783" s="7">
        <v>159465.82</v>
      </c>
    </row>
    <row r="784" spans="1:9" x14ac:dyDescent="0.3">
      <c r="A784" s="2"/>
      <c r="B784" s="3" t="s">
        <v>566</v>
      </c>
      <c r="C784" s="3" t="s">
        <v>180</v>
      </c>
      <c r="D784" s="3" t="s">
        <v>277</v>
      </c>
      <c r="E784" s="3" t="s">
        <v>180</v>
      </c>
      <c r="F784" s="6">
        <v>46081</v>
      </c>
      <c r="G784" s="7">
        <v>0</v>
      </c>
      <c r="H784" t="s">
        <v>240</v>
      </c>
      <c r="I784" t="s">
        <v>180</v>
      </c>
    </row>
    <row r="785" spans="1:9" x14ac:dyDescent="0.3">
      <c r="A785" s="2"/>
      <c r="B785" s="3" t="s">
        <v>183</v>
      </c>
      <c r="C785" s="3" t="s">
        <v>180</v>
      </c>
      <c r="D785" s="3" t="s">
        <v>280</v>
      </c>
      <c r="E785" s="3" t="s">
        <v>180</v>
      </c>
      <c r="F785" s="6">
        <v>46081</v>
      </c>
      <c r="G785" s="7">
        <v>-75000</v>
      </c>
      <c r="H785" t="s">
        <v>240</v>
      </c>
      <c r="I785" t="s">
        <v>180</v>
      </c>
    </row>
    <row r="786" spans="1:9" x14ac:dyDescent="0.3">
      <c r="A786" s="2"/>
      <c r="B786" s="3" t="s">
        <v>184</v>
      </c>
      <c r="C786" s="3" t="s">
        <v>180</v>
      </c>
      <c r="D786" s="3" t="s">
        <v>277</v>
      </c>
      <c r="E786" s="3" t="s">
        <v>180</v>
      </c>
      <c r="F786" s="6">
        <v>46081</v>
      </c>
      <c r="G786" s="7">
        <v>234465.81</v>
      </c>
      <c r="H786" t="s">
        <v>240</v>
      </c>
      <c r="I786" t="s">
        <v>180</v>
      </c>
    </row>
    <row r="787" spans="1:9" x14ac:dyDescent="0.3">
      <c r="A787" s="2"/>
      <c r="B787" s="3" t="s">
        <v>567</v>
      </c>
      <c r="C787" s="3"/>
      <c r="D787" s="3"/>
      <c r="E787" s="3"/>
      <c r="F787" s="6">
        <v>46081</v>
      </c>
      <c r="G787" s="7">
        <v>159465.81</v>
      </c>
    </row>
    <row r="788" spans="1:9" x14ac:dyDescent="0.3">
      <c r="A788" s="2"/>
      <c r="B788" s="3" t="s">
        <v>185</v>
      </c>
      <c r="C788" s="3" t="s">
        <v>180</v>
      </c>
      <c r="D788" s="3" t="s">
        <v>279</v>
      </c>
      <c r="E788" s="3" t="s">
        <v>180</v>
      </c>
      <c r="F788" s="6">
        <v>46081</v>
      </c>
      <c r="G788" s="7">
        <v>0</v>
      </c>
      <c r="H788" t="s">
        <v>240</v>
      </c>
      <c r="I788" t="s">
        <v>180</v>
      </c>
    </row>
    <row r="789" spans="1:9" x14ac:dyDescent="0.3">
      <c r="A789" s="2"/>
      <c r="B789" s="3" t="s">
        <v>186</v>
      </c>
      <c r="C789" s="3" t="s">
        <v>180</v>
      </c>
      <c r="D789" s="3" t="s">
        <v>278</v>
      </c>
      <c r="E789" s="3" t="s">
        <v>180</v>
      </c>
      <c r="F789" s="6">
        <v>46081</v>
      </c>
      <c r="G789" s="7">
        <v>0</v>
      </c>
    </row>
    <row r="790" spans="1:9" x14ac:dyDescent="0.3">
      <c r="A790" s="2"/>
      <c r="B790" s="3" t="s">
        <v>12</v>
      </c>
      <c r="C790" s="3" t="s">
        <v>180</v>
      </c>
      <c r="D790" s="3"/>
      <c r="E790" s="3" t="s">
        <v>180</v>
      </c>
      <c r="F790" s="6">
        <v>46081</v>
      </c>
      <c r="G790" s="7">
        <v>39262.269999999997</v>
      </c>
    </row>
    <row r="791" spans="1:9" x14ac:dyDescent="0.3">
      <c r="A791" s="2"/>
      <c r="B791" s="3" t="s">
        <v>15</v>
      </c>
      <c r="C791" s="3"/>
      <c r="D791" s="3"/>
      <c r="E791" s="3"/>
      <c r="F791" s="6">
        <v>46081</v>
      </c>
      <c r="G791" s="7">
        <v>358193.9</v>
      </c>
    </row>
    <row r="792" spans="1:9" x14ac:dyDescent="0.3">
      <c r="A792" s="2"/>
      <c r="B792" s="3" t="s">
        <v>187</v>
      </c>
      <c r="C792" s="3"/>
      <c r="D792" s="3"/>
      <c r="E792" s="3"/>
      <c r="F792" s="6">
        <v>46081</v>
      </c>
      <c r="G792" s="7">
        <v>433754.34</v>
      </c>
    </row>
    <row r="793" spans="1:9" x14ac:dyDescent="0.3">
      <c r="A793" s="2"/>
      <c r="B793" s="3" t="s">
        <v>136</v>
      </c>
      <c r="C793" s="3"/>
      <c r="D793" s="3"/>
      <c r="E793" s="3"/>
      <c r="F793" s="6">
        <v>46112</v>
      </c>
      <c r="G793" s="7">
        <v>0</v>
      </c>
    </row>
    <row r="794" spans="1:9" x14ac:dyDescent="0.3">
      <c r="A794" s="2"/>
      <c r="B794" s="3" t="s">
        <v>137</v>
      </c>
      <c r="C794" s="3"/>
      <c r="D794" s="3"/>
      <c r="E794" s="3"/>
      <c r="F794" s="6">
        <v>46112</v>
      </c>
      <c r="G794" s="7">
        <v>0</v>
      </c>
    </row>
    <row r="795" spans="1:9" x14ac:dyDescent="0.3">
      <c r="A795" s="2"/>
      <c r="B795" s="3" t="s">
        <v>138</v>
      </c>
      <c r="C795" s="3"/>
      <c r="D795" s="3"/>
      <c r="E795" s="3"/>
      <c r="F795" s="6">
        <v>46112</v>
      </c>
      <c r="G795" s="7">
        <v>0</v>
      </c>
    </row>
    <row r="796" spans="1:9" x14ac:dyDescent="0.3">
      <c r="A796" s="2"/>
      <c r="B796" s="3" t="s">
        <v>553</v>
      </c>
      <c r="C796" s="3" t="s">
        <v>254</v>
      </c>
      <c r="D796" s="3" t="s">
        <v>262</v>
      </c>
      <c r="E796" s="3" t="s">
        <v>263</v>
      </c>
      <c r="F796" s="6">
        <v>46112</v>
      </c>
      <c r="G796" s="7">
        <v>137582.79999999999</v>
      </c>
      <c r="H796" t="s">
        <v>232</v>
      </c>
      <c r="I796" t="s">
        <v>137</v>
      </c>
    </row>
    <row r="797" spans="1:9" x14ac:dyDescent="0.3">
      <c r="A797" s="2"/>
      <c r="B797" s="3" t="s">
        <v>554</v>
      </c>
      <c r="C797" s="3" t="s">
        <v>254</v>
      </c>
      <c r="D797" s="3" t="s">
        <v>262</v>
      </c>
      <c r="E797" s="3" t="s">
        <v>263</v>
      </c>
      <c r="F797" s="6">
        <v>46112</v>
      </c>
      <c r="G797" s="7">
        <v>15000</v>
      </c>
      <c r="H797" t="s">
        <v>232</v>
      </c>
      <c r="I797" t="s">
        <v>137</v>
      </c>
    </row>
    <row r="798" spans="1:9" x14ac:dyDescent="0.3">
      <c r="A798" s="2"/>
      <c r="B798" s="3" t="s">
        <v>139</v>
      </c>
      <c r="C798" s="3"/>
      <c r="D798" s="3"/>
      <c r="E798" s="3"/>
      <c r="F798" s="6">
        <v>46112</v>
      </c>
      <c r="G798" s="7">
        <v>152582.79999999999</v>
      </c>
    </row>
    <row r="799" spans="1:9" x14ac:dyDescent="0.3">
      <c r="A799" s="2"/>
      <c r="B799" s="3" t="s">
        <v>140</v>
      </c>
      <c r="C799" s="3"/>
      <c r="D799" s="3"/>
      <c r="E799" s="3"/>
      <c r="F799" s="6">
        <v>46112</v>
      </c>
      <c r="G799" s="7">
        <v>0</v>
      </c>
    </row>
    <row r="800" spans="1:9" x14ac:dyDescent="0.3">
      <c r="A800" s="2"/>
      <c r="B800" s="3" t="s">
        <v>141</v>
      </c>
      <c r="C800" s="3" t="s">
        <v>140</v>
      </c>
      <c r="D800" s="3" t="s">
        <v>264</v>
      </c>
      <c r="E800" s="3" t="s">
        <v>263</v>
      </c>
      <c r="F800" s="6">
        <v>46112</v>
      </c>
      <c r="G800" s="7">
        <v>110018.95</v>
      </c>
      <c r="H800" t="s">
        <v>233</v>
      </c>
      <c r="I800" t="s">
        <v>137</v>
      </c>
    </row>
    <row r="801" spans="1:9" x14ac:dyDescent="0.3">
      <c r="A801" s="2"/>
      <c r="B801" s="3" t="s">
        <v>142</v>
      </c>
      <c r="C801" s="3"/>
      <c r="D801" s="3"/>
      <c r="E801" s="3"/>
      <c r="F801" s="6">
        <v>46112</v>
      </c>
      <c r="G801" s="7">
        <v>110018.95</v>
      </c>
    </row>
    <row r="802" spans="1:9" x14ac:dyDescent="0.3">
      <c r="A802" s="2"/>
      <c r="B802" s="3" t="s">
        <v>143</v>
      </c>
      <c r="C802" s="3" t="s">
        <v>255</v>
      </c>
      <c r="D802" s="3" t="s">
        <v>265</v>
      </c>
      <c r="E802" s="3" t="s">
        <v>263</v>
      </c>
      <c r="F802" s="6">
        <v>46112</v>
      </c>
      <c r="G802" s="7">
        <v>0</v>
      </c>
    </row>
    <row r="803" spans="1:9" x14ac:dyDescent="0.3">
      <c r="A803" s="2"/>
      <c r="B803" s="3" t="s">
        <v>144</v>
      </c>
      <c r="C803" s="3" t="s">
        <v>255</v>
      </c>
      <c r="D803" s="3" t="s">
        <v>265</v>
      </c>
      <c r="E803" s="3" t="s">
        <v>263</v>
      </c>
      <c r="F803" s="6">
        <v>46112</v>
      </c>
      <c r="G803" s="7">
        <v>444.15</v>
      </c>
      <c r="H803" t="s">
        <v>143</v>
      </c>
      <c r="I803" t="s">
        <v>137</v>
      </c>
    </row>
    <row r="804" spans="1:9" x14ac:dyDescent="0.3">
      <c r="A804" s="2"/>
      <c r="B804" s="3" t="s">
        <v>145</v>
      </c>
      <c r="C804" s="3" t="s">
        <v>255</v>
      </c>
      <c r="D804" s="3" t="s">
        <v>265</v>
      </c>
      <c r="E804" s="3" t="s">
        <v>263</v>
      </c>
      <c r="F804" s="6">
        <v>46112</v>
      </c>
      <c r="G804" s="7">
        <v>103.26</v>
      </c>
      <c r="H804" t="s">
        <v>143</v>
      </c>
      <c r="I804" t="s">
        <v>137</v>
      </c>
    </row>
    <row r="805" spans="1:9" x14ac:dyDescent="0.3">
      <c r="A805" s="2"/>
      <c r="B805" s="3" t="s">
        <v>146</v>
      </c>
      <c r="C805" s="3" t="s">
        <v>255</v>
      </c>
      <c r="D805" s="3" t="s">
        <v>266</v>
      </c>
      <c r="E805" s="3" t="s">
        <v>263</v>
      </c>
      <c r="F805" s="6">
        <v>46112</v>
      </c>
      <c r="G805" s="7">
        <v>0</v>
      </c>
      <c r="H805" t="s">
        <v>143</v>
      </c>
      <c r="I805" t="s">
        <v>137</v>
      </c>
    </row>
    <row r="806" spans="1:9" x14ac:dyDescent="0.3">
      <c r="A806" s="2"/>
      <c r="B806" s="3" t="s">
        <v>147</v>
      </c>
      <c r="C806" s="3" t="s">
        <v>255</v>
      </c>
      <c r="D806" s="3" t="s">
        <v>265</v>
      </c>
      <c r="E806" s="3" t="s">
        <v>263</v>
      </c>
      <c r="F806" s="6">
        <v>46112</v>
      </c>
      <c r="G806" s="7">
        <v>14711.67</v>
      </c>
      <c r="H806" t="s">
        <v>143</v>
      </c>
      <c r="I806" t="s">
        <v>137</v>
      </c>
    </row>
    <row r="807" spans="1:9" x14ac:dyDescent="0.3">
      <c r="A807" s="2"/>
      <c r="B807" s="3" t="s">
        <v>562</v>
      </c>
      <c r="C807" s="3" t="s">
        <v>255</v>
      </c>
      <c r="D807" s="3" t="s">
        <v>266</v>
      </c>
      <c r="E807" s="3" t="s">
        <v>263</v>
      </c>
      <c r="F807" s="6">
        <v>46112</v>
      </c>
      <c r="G807" s="7">
        <v>9718.11</v>
      </c>
      <c r="H807" t="s">
        <v>143</v>
      </c>
      <c r="I807" t="s">
        <v>137</v>
      </c>
    </row>
    <row r="808" spans="1:9" x14ac:dyDescent="0.3">
      <c r="A808" s="2"/>
      <c r="B808" s="3" t="s">
        <v>148</v>
      </c>
      <c r="C808" s="3" t="s">
        <v>255</v>
      </c>
      <c r="D808" s="3" t="s">
        <v>266</v>
      </c>
      <c r="E808" s="3" t="s">
        <v>263</v>
      </c>
      <c r="F808" s="6">
        <v>46112</v>
      </c>
      <c r="G808" s="7">
        <v>-197.5</v>
      </c>
      <c r="H808" t="s">
        <v>143</v>
      </c>
      <c r="I808" t="s">
        <v>137</v>
      </c>
    </row>
    <row r="809" spans="1:9" x14ac:dyDescent="0.3">
      <c r="A809" s="2"/>
      <c r="B809" s="3" t="s">
        <v>149</v>
      </c>
      <c r="C809" s="3"/>
      <c r="D809" s="3"/>
      <c r="E809" s="3"/>
      <c r="F809" s="6">
        <v>46112</v>
      </c>
      <c r="G809" s="7">
        <v>24232.28</v>
      </c>
    </row>
    <row r="810" spans="1:9" x14ac:dyDescent="0.3">
      <c r="A810" s="2"/>
      <c r="B810" s="3" t="s">
        <v>150</v>
      </c>
      <c r="C810" s="3" t="s">
        <v>255</v>
      </c>
      <c r="D810" s="3" t="s">
        <v>265</v>
      </c>
      <c r="E810" s="3" t="s">
        <v>263</v>
      </c>
      <c r="F810" s="6">
        <v>46112</v>
      </c>
      <c r="G810" s="7">
        <v>0</v>
      </c>
      <c r="H810" t="s">
        <v>143</v>
      </c>
      <c r="I810" t="s">
        <v>137</v>
      </c>
    </row>
    <row r="811" spans="1:9" x14ac:dyDescent="0.3">
      <c r="A811" s="2"/>
      <c r="B811" s="3" t="s">
        <v>151</v>
      </c>
      <c r="C811" s="3" t="s">
        <v>255</v>
      </c>
      <c r="D811" s="3" t="s">
        <v>267</v>
      </c>
      <c r="E811" s="3" t="s">
        <v>263</v>
      </c>
      <c r="F811" s="6">
        <v>46112</v>
      </c>
      <c r="G811" s="7">
        <v>0</v>
      </c>
      <c r="H811" t="s">
        <v>143</v>
      </c>
      <c r="I811" t="s">
        <v>137</v>
      </c>
    </row>
    <row r="812" spans="1:9" x14ac:dyDescent="0.3">
      <c r="A812" s="2"/>
      <c r="B812" s="3" t="s">
        <v>152</v>
      </c>
      <c r="C812" s="3"/>
      <c r="D812" s="3"/>
      <c r="E812" s="3"/>
      <c r="F812" s="6">
        <v>46112</v>
      </c>
      <c r="G812" s="7">
        <v>24779.69</v>
      </c>
    </row>
    <row r="813" spans="1:9" x14ac:dyDescent="0.3">
      <c r="A813" s="2"/>
      <c r="B813" s="3" t="s">
        <v>153</v>
      </c>
      <c r="C813" s="3"/>
      <c r="D813" s="3"/>
      <c r="E813" s="3"/>
      <c r="F813" s="6">
        <v>46112</v>
      </c>
      <c r="G813" s="7">
        <v>287381.44</v>
      </c>
    </row>
    <row r="814" spans="1:9" x14ac:dyDescent="0.3">
      <c r="A814" s="2"/>
      <c r="B814" s="3" t="s">
        <v>154</v>
      </c>
      <c r="C814" s="3"/>
      <c r="D814" s="3"/>
      <c r="E814" s="3"/>
      <c r="F814" s="6">
        <v>46112</v>
      </c>
      <c r="G814" s="7">
        <v>0</v>
      </c>
    </row>
    <row r="815" spans="1:9" x14ac:dyDescent="0.3">
      <c r="A815" s="2"/>
      <c r="B815" s="3" t="s">
        <v>155</v>
      </c>
      <c r="C815" s="3" t="s">
        <v>268</v>
      </c>
      <c r="D815" s="3" t="s">
        <v>269</v>
      </c>
      <c r="E815" s="3" t="s">
        <v>263</v>
      </c>
      <c r="F815" s="6">
        <v>46112</v>
      </c>
      <c r="G815" s="7">
        <v>0</v>
      </c>
      <c r="H815" t="s">
        <v>235</v>
      </c>
      <c r="I815" t="s">
        <v>234</v>
      </c>
    </row>
    <row r="816" spans="1:9" x14ac:dyDescent="0.3">
      <c r="A816" s="2"/>
      <c r="B816" s="3" t="s">
        <v>542</v>
      </c>
      <c r="C816" s="3" t="s">
        <v>268</v>
      </c>
      <c r="D816" s="3" t="s">
        <v>269</v>
      </c>
      <c r="E816" s="3" t="s">
        <v>263</v>
      </c>
      <c r="F816" s="6">
        <v>46112</v>
      </c>
      <c r="G816" s="7">
        <v>100000</v>
      </c>
      <c r="H816" t="s">
        <v>235</v>
      </c>
      <c r="I816" t="s">
        <v>234</v>
      </c>
    </row>
    <row r="817" spans="1:9" x14ac:dyDescent="0.3">
      <c r="A817" s="2"/>
      <c r="B817" s="3" t="s">
        <v>156</v>
      </c>
      <c r="C817" s="3"/>
      <c r="D817" s="3"/>
      <c r="E817" s="3"/>
      <c r="F817" s="6">
        <v>46112</v>
      </c>
      <c r="G817" s="7">
        <v>100000</v>
      </c>
    </row>
    <row r="818" spans="1:9" x14ac:dyDescent="0.3">
      <c r="A818" s="2"/>
      <c r="B818" s="3" t="s">
        <v>157</v>
      </c>
      <c r="C818" s="3"/>
      <c r="D818" s="3"/>
      <c r="E818" s="3"/>
      <c r="F818" s="6">
        <v>46112</v>
      </c>
      <c r="G818" s="7">
        <v>100000</v>
      </c>
    </row>
    <row r="819" spans="1:9" x14ac:dyDescent="0.3">
      <c r="A819" s="2"/>
      <c r="B819" s="3" t="s">
        <v>158</v>
      </c>
      <c r="C819" s="3"/>
      <c r="D819" s="3"/>
      <c r="E819" s="3"/>
      <c r="F819" s="6">
        <v>46112</v>
      </c>
      <c r="G819" s="7">
        <v>387381.44</v>
      </c>
    </row>
    <row r="820" spans="1:9" x14ac:dyDescent="0.3">
      <c r="A820" s="2"/>
      <c r="B820" s="3" t="s">
        <v>159</v>
      </c>
      <c r="C820" s="3"/>
      <c r="D820" s="3"/>
      <c r="E820" s="3"/>
      <c r="F820" s="6">
        <v>46112</v>
      </c>
      <c r="G820" s="7">
        <v>0</v>
      </c>
    </row>
    <row r="821" spans="1:9" x14ac:dyDescent="0.3">
      <c r="A821" s="2"/>
      <c r="B821" s="3" t="s">
        <v>160</v>
      </c>
      <c r="C821" s="3"/>
      <c r="D821" s="3"/>
      <c r="E821" s="3"/>
      <c r="F821" s="6">
        <v>46112</v>
      </c>
      <c r="G821" s="7">
        <v>0</v>
      </c>
    </row>
    <row r="822" spans="1:9" x14ac:dyDescent="0.3">
      <c r="A822" s="2"/>
      <c r="B822" s="3" t="s">
        <v>161</v>
      </c>
      <c r="C822" s="3"/>
      <c r="D822" s="3"/>
      <c r="E822" s="3"/>
      <c r="F822" s="6">
        <v>46112</v>
      </c>
      <c r="G822" s="7">
        <v>0</v>
      </c>
    </row>
    <row r="823" spans="1:9" x14ac:dyDescent="0.3">
      <c r="A823" s="2"/>
      <c r="B823" s="3" t="s">
        <v>162</v>
      </c>
      <c r="C823" s="3"/>
      <c r="D823" s="3"/>
      <c r="E823" s="3"/>
      <c r="F823" s="6">
        <v>46112</v>
      </c>
      <c r="G823" s="7">
        <v>0</v>
      </c>
    </row>
    <row r="824" spans="1:9" x14ac:dyDescent="0.3">
      <c r="A824" s="2"/>
      <c r="B824" s="3" t="s">
        <v>163</v>
      </c>
      <c r="C824" s="3" t="s">
        <v>162</v>
      </c>
      <c r="D824" s="3" t="s">
        <v>270</v>
      </c>
      <c r="E824" s="3" t="s">
        <v>271</v>
      </c>
      <c r="F824" s="6">
        <v>46112</v>
      </c>
      <c r="G824" s="7">
        <v>6405.24</v>
      </c>
      <c r="H824" t="s">
        <v>162</v>
      </c>
      <c r="I824" t="s">
        <v>161</v>
      </c>
    </row>
    <row r="825" spans="1:9" x14ac:dyDescent="0.3">
      <c r="A825" s="2"/>
      <c r="B825" s="3" t="s">
        <v>164</v>
      </c>
      <c r="C825" s="3"/>
      <c r="D825" s="3"/>
      <c r="E825" s="3"/>
      <c r="F825" s="6">
        <v>46112</v>
      </c>
      <c r="G825" s="7">
        <v>6405.24</v>
      </c>
    </row>
    <row r="826" spans="1:9" x14ac:dyDescent="0.3">
      <c r="A826" s="2"/>
      <c r="B826" s="3" t="s">
        <v>165</v>
      </c>
      <c r="C826" s="3" t="s">
        <v>256</v>
      </c>
      <c r="D826" s="3" t="s">
        <v>272</v>
      </c>
      <c r="E826" s="3" t="s">
        <v>271</v>
      </c>
      <c r="F826" s="6">
        <v>46112</v>
      </c>
      <c r="G826" s="7">
        <v>0</v>
      </c>
    </row>
    <row r="827" spans="1:9" x14ac:dyDescent="0.3">
      <c r="A827" s="2"/>
      <c r="B827" s="3" t="s">
        <v>545</v>
      </c>
      <c r="C827" s="3" t="s">
        <v>256</v>
      </c>
      <c r="D827" s="3" t="s">
        <v>272</v>
      </c>
      <c r="E827" s="3" t="s">
        <v>271</v>
      </c>
      <c r="F827" s="6">
        <v>46112</v>
      </c>
      <c r="G827" s="7">
        <v>10854.45</v>
      </c>
      <c r="H827" t="s">
        <v>162</v>
      </c>
      <c r="I827" t="s">
        <v>161</v>
      </c>
    </row>
    <row r="828" spans="1:9" x14ac:dyDescent="0.3">
      <c r="A828" s="2"/>
      <c r="B828" s="3" t="s">
        <v>546</v>
      </c>
      <c r="C828" s="3" t="s">
        <v>256</v>
      </c>
      <c r="D828" s="3" t="s">
        <v>272</v>
      </c>
      <c r="E828" s="3" t="s">
        <v>271</v>
      </c>
      <c r="F828" s="6">
        <v>46112</v>
      </c>
      <c r="G828" s="7">
        <v>0</v>
      </c>
      <c r="H828" t="s">
        <v>162</v>
      </c>
      <c r="I828" t="s">
        <v>161</v>
      </c>
    </row>
    <row r="829" spans="1:9" x14ac:dyDescent="0.3">
      <c r="A829" s="2"/>
      <c r="B829" s="3" t="s">
        <v>547</v>
      </c>
      <c r="C829" s="3" t="s">
        <v>256</v>
      </c>
      <c r="D829" s="3" t="s">
        <v>272</v>
      </c>
      <c r="E829" s="3" t="s">
        <v>271</v>
      </c>
      <c r="F829" s="6">
        <v>46112</v>
      </c>
      <c r="G829" s="7">
        <v>2331.8200000000002</v>
      </c>
      <c r="H829" t="s">
        <v>162</v>
      </c>
      <c r="I829" t="s">
        <v>161</v>
      </c>
    </row>
    <row r="830" spans="1:9" x14ac:dyDescent="0.3">
      <c r="A830" s="2"/>
      <c r="B830" s="3" t="s">
        <v>166</v>
      </c>
      <c r="C830" s="3"/>
      <c r="D830" s="3"/>
      <c r="E830" s="3"/>
      <c r="F830" s="6">
        <v>46112</v>
      </c>
      <c r="G830" s="7">
        <v>13186.27</v>
      </c>
    </row>
    <row r="831" spans="1:9" x14ac:dyDescent="0.3">
      <c r="A831" s="2"/>
      <c r="B831" s="3" t="s">
        <v>167</v>
      </c>
      <c r="C831" s="3"/>
      <c r="D831" s="3"/>
      <c r="E831" s="3"/>
      <c r="F831" s="6">
        <v>46112</v>
      </c>
      <c r="G831" s="7">
        <v>0</v>
      </c>
    </row>
    <row r="832" spans="1:9" x14ac:dyDescent="0.3">
      <c r="A832" s="2"/>
      <c r="B832" s="3" t="s">
        <v>168</v>
      </c>
      <c r="C832" s="3" t="s">
        <v>257</v>
      </c>
      <c r="D832" s="3" t="s">
        <v>281</v>
      </c>
      <c r="E832" s="3" t="s">
        <v>271</v>
      </c>
      <c r="F832" s="6">
        <v>46112</v>
      </c>
      <c r="G832" s="7">
        <v>9063.2900000000009</v>
      </c>
      <c r="H832" t="s">
        <v>167</v>
      </c>
      <c r="I832" t="s">
        <v>161</v>
      </c>
    </row>
    <row r="833" spans="1:9" x14ac:dyDescent="0.3">
      <c r="A833" s="2"/>
      <c r="B833" s="3" t="s">
        <v>169</v>
      </c>
      <c r="C833" s="3" t="s">
        <v>257</v>
      </c>
      <c r="D833" s="3" t="s">
        <v>281</v>
      </c>
      <c r="E833" s="3" t="s">
        <v>271</v>
      </c>
      <c r="F833" s="6">
        <v>46112</v>
      </c>
      <c r="G833" s="7">
        <v>25047.97</v>
      </c>
      <c r="H833" t="s">
        <v>167</v>
      </c>
      <c r="I833" t="s">
        <v>161</v>
      </c>
    </row>
    <row r="834" spans="1:9" x14ac:dyDescent="0.3">
      <c r="A834" s="2"/>
      <c r="B834" s="3" t="s">
        <v>170</v>
      </c>
      <c r="C834" s="3" t="s">
        <v>257</v>
      </c>
      <c r="D834" s="3" t="s">
        <v>273</v>
      </c>
      <c r="E834" s="3" t="s">
        <v>271</v>
      </c>
      <c r="F834" s="6">
        <v>46112</v>
      </c>
      <c r="G834" s="7">
        <v>2644.43</v>
      </c>
      <c r="H834" t="s">
        <v>167</v>
      </c>
      <c r="I834" t="s">
        <v>161</v>
      </c>
    </row>
    <row r="835" spans="1:9" x14ac:dyDescent="0.3">
      <c r="A835" s="2"/>
      <c r="B835" s="3" t="s">
        <v>171</v>
      </c>
      <c r="C835" s="3" t="s">
        <v>257</v>
      </c>
      <c r="D835" s="3" t="s">
        <v>282</v>
      </c>
      <c r="E835" s="3" t="s">
        <v>271</v>
      </c>
      <c r="F835" s="6">
        <v>46112</v>
      </c>
      <c r="G835" s="7">
        <v>1428.13</v>
      </c>
      <c r="H835" t="s">
        <v>167</v>
      </c>
      <c r="I835" t="s">
        <v>161</v>
      </c>
    </row>
    <row r="836" spans="1:9" x14ac:dyDescent="0.3">
      <c r="A836" s="2"/>
      <c r="B836" s="3" t="s">
        <v>172</v>
      </c>
      <c r="C836" s="3"/>
      <c r="D836" s="3"/>
      <c r="E836" s="3"/>
      <c r="F836" s="6">
        <v>46112</v>
      </c>
      <c r="G836" s="7">
        <v>38183.82</v>
      </c>
    </row>
    <row r="837" spans="1:9" x14ac:dyDescent="0.3">
      <c r="A837" s="2"/>
      <c r="B837" s="3" t="s">
        <v>173</v>
      </c>
      <c r="C837" s="3" t="s">
        <v>257</v>
      </c>
      <c r="D837" s="3" t="s">
        <v>273</v>
      </c>
      <c r="E837" s="3" t="s">
        <v>271</v>
      </c>
      <c r="F837" s="6">
        <v>46112</v>
      </c>
      <c r="G837" s="7">
        <v>-116474.02</v>
      </c>
      <c r="H837" t="s">
        <v>237</v>
      </c>
      <c r="I837" t="s">
        <v>161</v>
      </c>
    </row>
    <row r="838" spans="1:9" x14ac:dyDescent="0.3">
      <c r="A838" s="2"/>
      <c r="B838" s="3" t="s">
        <v>174</v>
      </c>
      <c r="C838" s="3" t="s">
        <v>257</v>
      </c>
      <c r="D838" s="3" t="s">
        <v>273</v>
      </c>
      <c r="E838" s="3" t="s">
        <v>271</v>
      </c>
      <c r="F838" s="6">
        <v>46112</v>
      </c>
      <c r="G838" s="7">
        <v>2375</v>
      </c>
      <c r="H838" t="s">
        <v>167</v>
      </c>
      <c r="I838" t="s">
        <v>161</v>
      </c>
    </row>
    <row r="839" spans="1:9" x14ac:dyDescent="0.3">
      <c r="A839" s="2"/>
      <c r="B839" s="3" t="s">
        <v>175</v>
      </c>
      <c r="C839" s="3"/>
      <c r="D839" s="3"/>
      <c r="E839" s="3"/>
      <c r="F839" s="6">
        <v>46112</v>
      </c>
      <c r="G839" s="7">
        <v>-75915.199999999997</v>
      </c>
    </row>
    <row r="840" spans="1:9" x14ac:dyDescent="0.3">
      <c r="A840" s="2"/>
      <c r="B840" s="3" t="s">
        <v>176</v>
      </c>
      <c r="C840" s="3"/>
      <c r="D840" s="3"/>
      <c r="E840" s="3"/>
      <c r="F840" s="6">
        <v>46112</v>
      </c>
      <c r="G840" s="7">
        <v>-56323.69</v>
      </c>
    </row>
    <row r="841" spans="1:9" x14ac:dyDescent="0.3">
      <c r="A841" s="2"/>
      <c r="B841" s="3" t="s">
        <v>177</v>
      </c>
      <c r="C841" s="3"/>
      <c r="D841" s="3"/>
      <c r="E841" s="3"/>
      <c r="F841" s="6">
        <v>46112</v>
      </c>
      <c r="G841" s="7">
        <v>0</v>
      </c>
    </row>
    <row r="842" spans="1:9" x14ac:dyDescent="0.3">
      <c r="A842" s="2"/>
      <c r="B842" s="3" t="s">
        <v>178</v>
      </c>
      <c r="C842" s="3" t="s">
        <v>274</v>
      </c>
      <c r="D842" s="3" t="s">
        <v>275</v>
      </c>
      <c r="E842" s="3" t="s">
        <v>271</v>
      </c>
      <c r="F842" s="6">
        <v>46112</v>
      </c>
      <c r="G842" s="7">
        <v>90000</v>
      </c>
      <c r="H842" t="s">
        <v>239</v>
      </c>
      <c r="I842" t="s">
        <v>177</v>
      </c>
    </row>
    <row r="843" spans="1:9" x14ac:dyDescent="0.3">
      <c r="A843" s="2"/>
      <c r="B843" s="3" t="s">
        <v>179</v>
      </c>
      <c r="C843" s="3"/>
      <c r="D843" s="3"/>
      <c r="E843" s="3"/>
      <c r="F843" s="6">
        <v>46112</v>
      </c>
      <c r="G843" s="7">
        <v>90000</v>
      </c>
    </row>
    <row r="844" spans="1:9" x14ac:dyDescent="0.3">
      <c r="A844" s="2"/>
      <c r="B844" s="3" t="s">
        <v>14</v>
      </c>
      <c r="C844" s="3"/>
      <c r="D844" s="3"/>
      <c r="E844" s="3"/>
      <c r="F844" s="6">
        <v>46112</v>
      </c>
      <c r="G844" s="7">
        <v>33676.31</v>
      </c>
    </row>
    <row r="845" spans="1:9" x14ac:dyDescent="0.3">
      <c r="A845" s="2"/>
      <c r="B845" s="3" t="s">
        <v>180</v>
      </c>
      <c r="C845" s="3"/>
      <c r="D845" s="3"/>
      <c r="E845" s="3"/>
      <c r="F845" s="6">
        <v>46112</v>
      </c>
      <c r="G845" s="7">
        <v>0</v>
      </c>
    </row>
    <row r="846" spans="1:9" x14ac:dyDescent="0.3">
      <c r="A846" s="2"/>
      <c r="B846" s="3" t="s">
        <v>181</v>
      </c>
      <c r="C846" s="3" t="s">
        <v>180</v>
      </c>
      <c r="D846" s="3" t="s">
        <v>276</v>
      </c>
      <c r="E846" s="3" t="s">
        <v>180</v>
      </c>
      <c r="F846" s="6">
        <v>46112</v>
      </c>
      <c r="G846" s="7">
        <v>0</v>
      </c>
      <c r="H846" t="s">
        <v>240</v>
      </c>
      <c r="I846" t="s">
        <v>180</v>
      </c>
    </row>
    <row r="847" spans="1:9" x14ac:dyDescent="0.3">
      <c r="A847" s="2"/>
      <c r="B847" s="3" t="s">
        <v>563</v>
      </c>
      <c r="C847" s="3" t="s">
        <v>180</v>
      </c>
      <c r="D847" s="3" t="s">
        <v>277</v>
      </c>
      <c r="E847" s="3" t="s">
        <v>180</v>
      </c>
      <c r="F847" s="6">
        <v>46112</v>
      </c>
      <c r="G847" s="7">
        <v>0</v>
      </c>
      <c r="H847" t="s">
        <v>240</v>
      </c>
      <c r="I847" t="s">
        <v>180</v>
      </c>
    </row>
    <row r="848" spans="1:9" x14ac:dyDescent="0.3">
      <c r="A848" s="2"/>
      <c r="B848" s="3" t="s">
        <v>564</v>
      </c>
      <c r="C848" s="3" t="s">
        <v>180</v>
      </c>
      <c r="D848" s="3" t="s">
        <v>278</v>
      </c>
      <c r="E848" s="3" t="s">
        <v>180</v>
      </c>
      <c r="F848" s="6">
        <v>46112</v>
      </c>
      <c r="G848" s="7">
        <v>-75000</v>
      </c>
      <c r="H848" t="s">
        <v>240</v>
      </c>
      <c r="I848" t="s">
        <v>180</v>
      </c>
    </row>
    <row r="849" spans="1:9" x14ac:dyDescent="0.3">
      <c r="A849" s="2"/>
      <c r="B849" s="3" t="s">
        <v>182</v>
      </c>
      <c r="C849" s="3" t="s">
        <v>180</v>
      </c>
      <c r="D849" s="3" t="s">
        <v>277</v>
      </c>
      <c r="E849" s="3" t="s">
        <v>180</v>
      </c>
      <c r="F849" s="6">
        <v>46112</v>
      </c>
      <c r="G849" s="7">
        <v>234465.82</v>
      </c>
      <c r="H849" t="s">
        <v>240</v>
      </c>
      <c r="I849" t="s">
        <v>180</v>
      </c>
    </row>
    <row r="850" spans="1:9" x14ac:dyDescent="0.3">
      <c r="A850" s="2"/>
      <c r="B850" s="3" t="s">
        <v>565</v>
      </c>
      <c r="C850" s="3"/>
      <c r="D850" s="3"/>
      <c r="E850" s="3"/>
      <c r="F850" s="6">
        <v>46112</v>
      </c>
      <c r="G850" s="7">
        <v>159465.82</v>
      </c>
    </row>
    <row r="851" spans="1:9" x14ac:dyDescent="0.3">
      <c r="A851" s="2"/>
      <c r="B851" s="3" t="s">
        <v>566</v>
      </c>
      <c r="C851" s="3" t="s">
        <v>180</v>
      </c>
      <c r="D851" s="3" t="s">
        <v>277</v>
      </c>
      <c r="E851" s="3" t="s">
        <v>180</v>
      </c>
      <c r="F851" s="6">
        <v>46112</v>
      </c>
      <c r="G851" s="7">
        <v>0</v>
      </c>
      <c r="H851" t="s">
        <v>240</v>
      </c>
      <c r="I851" t="s">
        <v>180</v>
      </c>
    </row>
    <row r="852" spans="1:9" x14ac:dyDescent="0.3">
      <c r="A852" s="2"/>
      <c r="B852" s="3" t="s">
        <v>183</v>
      </c>
      <c r="C852" s="3" t="s">
        <v>180</v>
      </c>
      <c r="D852" s="3" t="s">
        <v>280</v>
      </c>
      <c r="E852" s="3" t="s">
        <v>180</v>
      </c>
      <c r="F852" s="6">
        <v>46112</v>
      </c>
      <c r="G852" s="7">
        <v>-75000</v>
      </c>
      <c r="H852" t="s">
        <v>240</v>
      </c>
      <c r="I852" t="s">
        <v>180</v>
      </c>
    </row>
    <row r="853" spans="1:9" x14ac:dyDescent="0.3">
      <c r="A853" s="2"/>
      <c r="B853" s="3" t="s">
        <v>184</v>
      </c>
      <c r="C853" s="3" t="s">
        <v>180</v>
      </c>
      <c r="D853" s="3" t="s">
        <v>277</v>
      </c>
      <c r="E853" s="3" t="s">
        <v>180</v>
      </c>
      <c r="F853" s="6">
        <v>46112</v>
      </c>
      <c r="G853" s="7">
        <v>234465.81</v>
      </c>
      <c r="H853" t="s">
        <v>240</v>
      </c>
      <c r="I853" t="s">
        <v>180</v>
      </c>
    </row>
    <row r="854" spans="1:9" x14ac:dyDescent="0.3">
      <c r="A854" s="2"/>
      <c r="B854" s="3" t="s">
        <v>567</v>
      </c>
      <c r="C854" s="3"/>
      <c r="D854" s="3"/>
      <c r="E854" s="3"/>
      <c r="F854" s="6">
        <v>46112</v>
      </c>
      <c r="G854" s="7">
        <v>159465.81</v>
      </c>
    </row>
    <row r="855" spans="1:9" x14ac:dyDescent="0.3">
      <c r="A855" s="2"/>
      <c r="B855" s="3" t="s">
        <v>185</v>
      </c>
      <c r="C855" s="3" t="s">
        <v>180</v>
      </c>
      <c r="D855" s="3" t="s">
        <v>279</v>
      </c>
      <c r="E855" s="3" t="s">
        <v>180</v>
      </c>
      <c r="F855" s="6">
        <v>46112</v>
      </c>
      <c r="G855" s="7">
        <v>0</v>
      </c>
      <c r="H855" t="s">
        <v>240</v>
      </c>
      <c r="I855" t="s">
        <v>180</v>
      </c>
    </row>
    <row r="856" spans="1:9" x14ac:dyDescent="0.3">
      <c r="A856" s="2"/>
      <c r="B856" s="3" t="s">
        <v>186</v>
      </c>
      <c r="C856" s="3" t="s">
        <v>180</v>
      </c>
      <c r="D856" s="3" t="s">
        <v>278</v>
      </c>
      <c r="E856" s="3" t="s">
        <v>180</v>
      </c>
      <c r="F856" s="6">
        <v>46112</v>
      </c>
      <c r="G856" s="7">
        <v>0</v>
      </c>
    </row>
    <row r="857" spans="1:9" x14ac:dyDescent="0.3">
      <c r="A857" s="2"/>
      <c r="B857" s="3" t="s">
        <v>12</v>
      </c>
      <c r="C857" s="3" t="s">
        <v>180</v>
      </c>
      <c r="D857" s="3"/>
      <c r="E857" s="3" t="s">
        <v>180</v>
      </c>
      <c r="F857" s="6">
        <v>46112</v>
      </c>
      <c r="G857" s="7">
        <v>34773.5</v>
      </c>
    </row>
    <row r="858" spans="1:9" x14ac:dyDescent="0.3">
      <c r="A858" s="2"/>
      <c r="B858" s="3" t="s">
        <v>15</v>
      </c>
      <c r="C858" s="3"/>
      <c r="D858" s="3"/>
      <c r="E858" s="3"/>
      <c r="F858" s="6">
        <v>46112</v>
      </c>
      <c r="G858" s="7">
        <v>353705.13</v>
      </c>
    </row>
    <row r="859" spans="1:9" x14ac:dyDescent="0.3">
      <c r="A859" s="2"/>
      <c r="B859" s="3" t="s">
        <v>187</v>
      </c>
      <c r="C859" s="3"/>
      <c r="D859" s="3"/>
      <c r="E859" s="3"/>
      <c r="F859" s="6">
        <v>46112</v>
      </c>
      <c r="G859" s="7">
        <v>387381.44</v>
      </c>
    </row>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F6260-8091-4DAB-8141-73F0E0DBB460}">
  <sheetPr>
    <tabColor theme="7" tint="0.39997558519241921"/>
  </sheetPr>
  <dimension ref="A1"/>
  <sheetViews>
    <sheetView showGridLines="0" workbookViewId="0">
      <selection activeCell="R19" sqref="R19"/>
    </sheetView>
  </sheetViews>
  <sheetFormatPr defaultRowHeight="14.4" x14ac:dyDescent="0.3"/>
  <sheetData/>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D0D98-F1E1-46B9-9BD1-D1F9AD735343}">
  <dimension ref="A1:Q207"/>
  <sheetViews>
    <sheetView showGridLines="0" workbookViewId="0">
      <pane ySplit="5" topLeftCell="A6" activePane="bottomLeft" state="frozen"/>
      <selection pane="bottomLeft"/>
    </sheetView>
  </sheetViews>
  <sheetFormatPr defaultRowHeight="14.4" x14ac:dyDescent="0.3"/>
  <cols>
    <col min="1" max="1" width="0.6640625" customWidth="1"/>
    <col min="2" max="3" width="14" customWidth="1"/>
    <col min="4" max="4" width="22" customWidth="1"/>
    <col min="5" max="5" width="28.109375" bestFit="1" customWidth="1"/>
    <col min="6" max="6" width="59" customWidth="1"/>
    <col min="7" max="7" width="18" customWidth="1"/>
    <col min="8" max="8" width="22" customWidth="1"/>
    <col min="9" max="9" width="39" customWidth="1"/>
    <col min="10" max="10" width="29.21875" bestFit="1" customWidth="1"/>
    <col min="11" max="11" width="28.109375" bestFit="1" customWidth="1"/>
    <col min="12" max="12" width="60" customWidth="1"/>
    <col min="13" max="13" width="14" customWidth="1"/>
    <col min="14" max="14" width="19" customWidth="1"/>
    <col min="15" max="15" width="20" customWidth="1"/>
    <col min="16" max="16" width="30" customWidth="1"/>
    <col min="17" max="17" width="34" customWidth="1"/>
  </cols>
  <sheetData>
    <row r="1" spans="1:17" x14ac:dyDescent="0.3">
      <c r="A1" s="1" t="s">
        <v>386</v>
      </c>
      <c r="B1" s="2"/>
      <c r="C1" s="2"/>
      <c r="D1" s="2"/>
      <c r="E1" s="2"/>
      <c r="F1" s="2"/>
      <c r="G1" s="2"/>
      <c r="H1" s="2"/>
      <c r="I1" s="2"/>
      <c r="J1" s="2"/>
      <c r="K1" s="2"/>
      <c r="L1" s="2"/>
      <c r="M1" s="2"/>
      <c r="N1" s="2"/>
      <c r="O1" s="2"/>
    </row>
    <row r="2" spans="1:17" x14ac:dyDescent="0.3">
      <c r="A2" s="3" t="s">
        <v>418</v>
      </c>
      <c r="B2" s="2"/>
      <c r="C2" s="2"/>
      <c r="D2" s="2"/>
      <c r="E2" s="2"/>
      <c r="F2" s="2"/>
      <c r="G2" s="2"/>
      <c r="H2" s="2"/>
      <c r="I2" s="2"/>
      <c r="J2" s="2"/>
      <c r="K2" s="2"/>
      <c r="L2" s="2"/>
      <c r="M2" s="2"/>
      <c r="N2" s="2"/>
      <c r="O2" s="2"/>
    </row>
    <row r="3" spans="1:17" x14ac:dyDescent="0.3">
      <c r="A3" s="2"/>
      <c r="B3" s="2"/>
      <c r="C3" s="2"/>
      <c r="D3" s="2"/>
      <c r="E3" s="2"/>
      <c r="F3" s="2"/>
      <c r="G3" s="2"/>
      <c r="H3" s="2"/>
      <c r="I3" s="2"/>
      <c r="J3" s="2"/>
      <c r="K3" s="2"/>
      <c r="L3" s="2"/>
      <c r="M3" s="2"/>
      <c r="N3" s="2"/>
      <c r="O3" s="2"/>
    </row>
    <row r="4" spans="1:17" x14ac:dyDescent="0.3">
      <c r="A4" s="2"/>
      <c r="B4" s="2"/>
      <c r="C4" s="2"/>
      <c r="D4" s="2"/>
      <c r="E4" s="2"/>
      <c r="F4" s="2"/>
      <c r="G4" s="2"/>
      <c r="H4" s="2"/>
      <c r="I4" s="2"/>
      <c r="J4" s="2"/>
      <c r="K4" s="2"/>
      <c r="L4" s="2"/>
      <c r="M4" s="2"/>
      <c r="N4" s="2"/>
      <c r="O4" s="2"/>
    </row>
    <row r="5" spans="1:17" x14ac:dyDescent="0.3">
      <c r="A5" s="2"/>
      <c r="B5" s="4" t="s">
        <v>417</v>
      </c>
      <c r="C5" s="5" t="s">
        <v>246</v>
      </c>
      <c r="D5" s="5" t="s">
        <v>416</v>
      </c>
      <c r="E5" s="5" t="s">
        <v>415</v>
      </c>
      <c r="F5" s="5" t="s">
        <v>247</v>
      </c>
      <c r="G5" s="5" t="s">
        <v>414</v>
      </c>
      <c r="H5" s="5" t="s">
        <v>248</v>
      </c>
      <c r="I5" s="5" t="s">
        <v>259</v>
      </c>
      <c r="J5" s="5" t="s">
        <v>413</v>
      </c>
      <c r="K5" s="5" t="s">
        <v>412</v>
      </c>
      <c r="L5" s="5" t="s">
        <v>411</v>
      </c>
      <c r="M5" s="5" t="s">
        <v>250</v>
      </c>
      <c r="N5" s="5" t="s">
        <v>410</v>
      </c>
      <c r="O5" s="5" t="s">
        <v>249</v>
      </c>
      <c r="P5" s="36" t="s">
        <v>447</v>
      </c>
      <c r="Q5" s="36" t="s">
        <v>448</v>
      </c>
    </row>
    <row r="6" spans="1:17" x14ac:dyDescent="0.3">
      <c r="A6" s="2"/>
      <c r="B6" s="6">
        <v>46082</v>
      </c>
      <c r="C6" s="6">
        <v>46112</v>
      </c>
      <c r="D6" s="3" t="s">
        <v>395</v>
      </c>
      <c r="E6" s="154" t="s">
        <v>446</v>
      </c>
      <c r="F6" s="3" t="s">
        <v>39</v>
      </c>
      <c r="G6" s="153">
        <v>53100</v>
      </c>
      <c r="H6" s="3" t="s">
        <v>37</v>
      </c>
      <c r="I6" s="3" t="s">
        <v>401</v>
      </c>
      <c r="J6" s="154" t="s">
        <v>521</v>
      </c>
      <c r="K6" s="154" t="s">
        <v>446</v>
      </c>
      <c r="L6" s="3" t="s">
        <v>394</v>
      </c>
      <c r="M6" s="7">
        <v>-4862.17</v>
      </c>
      <c r="N6" s="7">
        <v>55197.279999999999</v>
      </c>
      <c r="O6" s="3" t="s">
        <v>491</v>
      </c>
      <c r="P6" t="s">
        <v>212</v>
      </c>
      <c r="Q6" t="s">
        <v>211</v>
      </c>
    </row>
    <row r="7" spans="1:17" x14ac:dyDescent="0.3">
      <c r="A7" s="2"/>
      <c r="B7" s="6">
        <v>46082</v>
      </c>
      <c r="C7" s="6">
        <v>46112</v>
      </c>
      <c r="D7" s="3" t="s">
        <v>395</v>
      </c>
      <c r="E7" s="154" t="s">
        <v>446</v>
      </c>
      <c r="F7" s="3" t="s">
        <v>39</v>
      </c>
      <c r="G7" s="153">
        <v>53100</v>
      </c>
      <c r="H7" s="3" t="s">
        <v>37</v>
      </c>
      <c r="I7" s="3" t="s">
        <v>401</v>
      </c>
      <c r="J7" s="154" t="s">
        <v>528</v>
      </c>
      <c r="K7" s="154" t="s">
        <v>446</v>
      </c>
      <c r="L7" s="3" t="s">
        <v>394</v>
      </c>
      <c r="M7" s="7">
        <v>-2728.58</v>
      </c>
      <c r="N7" s="7">
        <v>52468.7</v>
      </c>
      <c r="O7" s="3" t="s">
        <v>492</v>
      </c>
      <c r="P7" t="s">
        <v>212</v>
      </c>
      <c r="Q7" t="s">
        <v>211</v>
      </c>
    </row>
    <row r="8" spans="1:17" x14ac:dyDescent="0.3">
      <c r="A8" s="2"/>
      <c r="B8" s="6">
        <v>46082</v>
      </c>
      <c r="C8" s="6">
        <v>46112</v>
      </c>
      <c r="D8" s="3" t="s">
        <v>395</v>
      </c>
      <c r="E8" s="154" t="s">
        <v>446</v>
      </c>
      <c r="F8" s="3" t="s">
        <v>543</v>
      </c>
      <c r="G8" s="153">
        <v>53200</v>
      </c>
      <c r="H8" s="3" t="s">
        <v>37</v>
      </c>
      <c r="I8" s="3" t="s">
        <v>401</v>
      </c>
      <c r="J8" s="154" t="s">
        <v>528</v>
      </c>
      <c r="K8" s="154" t="s">
        <v>446</v>
      </c>
      <c r="L8" s="3" t="s">
        <v>394</v>
      </c>
      <c r="M8" s="7">
        <v>-509.34</v>
      </c>
      <c r="N8" s="7">
        <v>14086.87</v>
      </c>
      <c r="O8" s="3" t="s">
        <v>492</v>
      </c>
      <c r="P8" t="s">
        <v>212</v>
      </c>
      <c r="Q8" t="s">
        <v>211</v>
      </c>
    </row>
    <row r="9" spans="1:17" x14ac:dyDescent="0.3">
      <c r="A9" s="2"/>
      <c r="B9" s="6">
        <v>46082</v>
      </c>
      <c r="C9" s="6">
        <v>46112</v>
      </c>
      <c r="D9" s="3" t="s">
        <v>395</v>
      </c>
      <c r="E9" s="154" t="s">
        <v>446</v>
      </c>
      <c r="F9" s="3" t="s">
        <v>543</v>
      </c>
      <c r="G9" s="153">
        <v>53200</v>
      </c>
      <c r="H9" s="3" t="s">
        <v>37</v>
      </c>
      <c r="I9" s="3" t="s">
        <v>401</v>
      </c>
      <c r="J9" s="154" t="s">
        <v>521</v>
      </c>
      <c r="K9" s="154" t="s">
        <v>446</v>
      </c>
      <c r="L9" s="3" t="s">
        <v>394</v>
      </c>
      <c r="M9" s="7">
        <v>-816.58</v>
      </c>
      <c r="N9" s="7">
        <v>13270.29</v>
      </c>
      <c r="O9" s="3" t="s">
        <v>491</v>
      </c>
      <c r="P9" t="s">
        <v>212</v>
      </c>
      <c r="Q9" t="s">
        <v>211</v>
      </c>
    </row>
    <row r="10" spans="1:17" x14ac:dyDescent="0.3">
      <c r="A10" s="2"/>
      <c r="B10" s="6">
        <v>46082</v>
      </c>
      <c r="C10" s="6">
        <v>46112</v>
      </c>
      <c r="D10" s="3" t="s">
        <v>395</v>
      </c>
      <c r="E10" s="154" t="s">
        <v>446</v>
      </c>
      <c r="F10" s="3" t="s">
        <v>43</v>
      </c>
      <c r="G10" s="153">
        <v>53230</v>
      </c>
      <c r="H10" s="3" t="s">
        <v>37</v>
      </c>
      <c r="I10" s="3" t="s">
        <v>401</v>
      </c>
      <c r="J10" s="154" t="s">
        <v>521</v>
      </c>
      <c r="K10" s="154" t="s">
        <v>446</v>
      </c>
      <c r="L10" s="3" t="s">
        <v>394</v>
      </c>
      <c r="M10" s="7">
        <v>34.69</v>
      </c>
      <c r="N10" s="7">
        <v>-262.61</v>
      </c>
      <c r="O10" s="3" t="s">
        <v>491</v>
      </c>
      <c r="P10" t="s">
        <v>212</v>
      </c>
      <c r="Q10" t="s">
        <v>211</v>
      </c>
    </row>
    <row r="11" spans="1:17" x14ac:dyDescent="0.3">
      <c r="A11" s="2"/>
      <c r="B11" s="6">
        <v>46082</v>
      </c>
      <c r="C11" s="6">
        <v>46112</v>
      </c>
      <c r="D11" s="3" t="s">
        <v>395</v>
      </c>
      <c r="E11" s="154" t="s">
        <v>446</v>
      </c>
      <c r="F11" s="3" t="s">
        <v>44</v>
      </c>
      <c r="G11" s="153">
        <v>53240</v>
      </c>
      <c r="H11" s="3" t="s">
        <v>37</v>
      </c>
      <c r="I11" s="3" t="s">
        <v>401</v>
      </c>
      <c r="J11" s="154" t="s">
        <v>528</v>
      </c>
      <c r="K11" s="154" t="s">
        <v>446</v>
      </c>
      <c r="L11" s="3" t="s">
        <v>394</v>
      </c>
      <c r="M11" s="7">
        <v>-9.81</v>
      </c>
      <c r="N11" s="7">
        <v>236.66</v>
      </c>
      <c r="O11" s="3" t="s">
        <v>492</v>
      </c>
      <c r="P11" t="s">
        <v>212</v>
      </c>
      <c r="Q11" t="s">
        <v>211</v>
      </c>
    </row>
    <row r="12" spans="1:17" x14ac:dyDescent="0.3">
      <c r="A12" s="2"/>
      <c r="B12" s="6">
        <v>46082</v>
      </c>
      <c r="C12" s="6">
        <v>46112</v>
      </c>
      <c r="D12" s="3" t="s">
        <v>395</v>
      </c>
      <c r="E12" s="154" t="s">
        <v>446</v>
      </c>
      <c r="F12" s="3" t="s">
        <v>44</v>
      </c>
      <c r="G12" s="153">
        <v>53240</v>
      </c>
      <c r="H12" s="3" t="s">
        <v>37</v>
      </c>
      <c r="I12" s="3" t="s">
        <v>401</v>
      </c>
      <c r="J12" s="154" t="s">
        <v>521</v>
      </c>
      <c r="K12" s="154" t="s">
        <v>446</v>
      </c>
      <c r="L12" s="3" t="s">
        <v>394</v>
      </c>
      <c r="M12" s="7">
        <v>-15.39</v>
      </c>
      <c r="N12" s="7">
        <v>221.27</v>
      </c>
      <c r="O12" s="3" t="s">
        <v>491</v>
      </c>
      <c r="P12" t="s">
        <v>212</v>
      </c>
      <c r="Q12" t="s">
        <v>211</v>
      </c>
    </row>
    <row r="13" spans="1:17" x14ac:dyDescent="0.3">
      <c r="A13" s="2"/>
      <c r="B13" s="6">
        <v>46082</v>
      </c>
      <c r="C13" s="6">
        <v>46112</v>
      </c>
      <c r="D13" s="3" t="s">
        <v>395</v>
      </c>
      <c r="E13" s="154" t="s">
        <v>446</v>
      </c>
      <c r="F13" s="3" t="s">
        <v>45</v>
      </c>
      <c r="G13" s="153">
        <v>53300</v>
      </c>
      <c r="H13" s="3" t="s">
        <v>37</v>
      </c>
      <c r="I13" s="3" t="s">
        <v>401</v>
      </c>
      <c r="J13" s="154" t="s">
        <v>528</v>
      </c>
      <c r="K13" s="154" t="s">
        <v>446</v>
      </c>
      <c r="L13" s="3" t="s">
        <v>394</v>
      </c>
      <c r="M13" s="7">
        <v>-202.73</v>
      </c>
      <c r="N13" s="7">
        <v>5758.77</v>
      </c>
      <c r="O13" s="3" t="s">
        <v>492</v>
      </c>
      <c r="P13" t="s">
        <v>212</v>
      </c>
      <c r="Q13" t="s">
        <v>211</v>
      </c>
    </row>
    <row r="14" spans="1:17" x14ac:dyDescent="0.3">
      <c r="A14" s="2"/>
      <c r="B14" s="6">
        <v>46082</v>
      </c>
      <c r="C14" s="6">
        <v>46112</v>
      </c>
      <c r="D14" s="3" t="s">
        <v>395</v>
      </c>
      <c r="E14" s="154" t="s">
        <v>446</v>
      </c>
      <c r="F14" s="3" t="s">
        <v>45</v>
      </c>
      <c r="G14" s="153">
        <v>53300</v>
      </c>
      <c r="H14" s="3" t="s">
        <v>37</v>
      </c>
      <c r="I14" s="3" t="s">
        <v>401</v>
      </c>
      <c r="J14" s="154" t="s">
        <v>521</v>
      </c>
      <c r="K14" s="154" t="s">
        <v>446</v>
      </c>
      <c r="L14" s="3" t="s">
        <v>394</v>
      </c>
      <c r="M14" s="7">
        <v>-358.22</v>
      </c>
      <c r="N14" s="7">
        <v>5400.55</v>
      </c>
      <c r="O14" s="3" t="s">
        <v>491</v>
      </c>
      <c r="P14" t="s">
        <v>212</v>
      </c>
      <c r="Q14" t="s">
        <v>211</v>
      </c>
    </row>
    <row r="15" spans="1:17" x14ac:dyDescent="0.3">
      <c r="A15" s="2"/>
      <c r="B15" s="6">
        <v>46082</v>
      </c>
      <c r="C15" s="6">
        <v>46112</v>
      </c>
      <c r="D15" s="3" t="s">
        <v>395</v>
      </c>
      <c r="E15" s="154" t="s">
        <v>446</v>
      </c>
      <c r="F15" s="3" t="s">
        <v>51</v>
      </c>
      <c r="G15" s="153">
        <v>61100</v>
      </c>
      <c r="H15" s="3" t="s">
        <v>251</v>
      </c>
      <c r="I15" s="3" t="s">
        <v>399</v>
      </c>
      <c r="J15" s="154" t="s">
        <v>531</v>
      </c>
      <c r="K15" s="154" t="s">
        <v>446</v>
      </c>
      <c r="L15" s="3" t="s">
        <v>394</v>
      </c>
      <c r="M15" s="7">
        <v>-5765.13</v>
      </c>
      <c r="N15" s="7">
        <v>42481.99</v>
      </c>
      <c r="O15" s="3" t="s">
        <v>252</v>
      </c>
      <c r="P15" t="s">
        <v>218</v>
      </c>
      <c r="Q15" t="s">
        <v>216</v>
      </c>
    </row>
    <row r="16" spans="1:17" x14ac:dyDescent="0.3">
      <c r="A16" s="2"/>
      <c r="B16" s="6">
        <v>46082</v>
      </c>
      <c r="C16" s="6">
        <v>46112</v>
      </c>
      <c r="D16" s="3" t="s">
        <v>395</v>
      </c>
      <c r="E16" s="154" t="s">
        <v>446</v>
      </c>
      <c r="F16" s="3" t="s">
        <v>53</v>
      </c>
      <c r="G16" s="153">
        <v>61120</v>
      </c>
      <c r="H16" s="3" t="s">
        <v>251</v>
      </c>
      <c r="I16" s="3" t="s">
        <v>399</v>
      </c>
      <c r="J16" s="154" t="s">
        <v>531</v>
      </c>
      <c r="K16" s="154" t="s">
        <v>446</v>
      </c>
      <c r="L16" s="3" t="s">
        <v>394</v>
      </c>
      <c r="M16" s="7">
        <v>-4081.15</v>
      </c>
      <c r="N16" s="7">
        <v>30900.1</v>
      </c>
      <c r="O16" s="3" t="s">
        <v>252</v>
      </c>
      <c r="P16" t="s">
        <v>218</v>
      </c>
      <c r="Q16" t="s">
        <v>216</v>
      </c>
    </row>
    <row r="17" spans="1:17" x14ac:dyDescent="0.3">
      <c r="A17" s="2"/>
      <c r="B17" s="6">
        <v>46082</v>
      </c>
      <c r="C17" s="6">
        <v>46112</v>
      </c>
      <c r="D17" s="3" t="s">
        <v>395</v>
      </c>
      <c r="E17" s="154" t="s">
        <v>446</v>
      </c>
      <c r="F17" s="3" t="s">
        <v>544</v>
      </c>
      <c r="G17" s="153">
        <v>61200</v>
      </c>
      <c r="H17" s="3" t="s">
        <v>251</v>
      </c>
      <c r="I17" s="3" t="s">
        <v>399</v>
      </c>
      <c r="J17" s="154" t="s">
        <v>531</v>
      </c>
      <c r="K17" s="154" t="s">
        <v>446</v>
      </c>
      <c r="L17" s="3" t="s">
        <v>394</v>
      </c>
      <c r="M17" s="7">
        <v>-524.08000000000004</v>
      </c>
      <c r="N17" s="7">
        <v>7199.23</v>
      </c>
      <c r="O17" s="3" t="s">
        <v>252</v>
      </c>
      <c r="P17" t="s">
        <v>218</v>
      </c>
      <c r="Q17" t="s">
        <v>216</v>
      </c>
    </row>
    <row r="18" spans="1:17" x14ac:dyDescent="0.3">
      <c r="A18" s="2"/>
      <c r="B18" s="6">
        <v>46082</v>
      </c>
      <c r="C18" s="6">
        <v>46112</v>
      </c>
      <c r="D18" s="3" t="s">
        <v>395</v>
      </c>
      <c r="E18" s="154" t="s">
        <v>446</v>
      </c>
      <c r="F18" s="3" t="s">
        <v>56</v>
      </c>
      <c r="G18" s="153">
        <v>61230</v>
      </c>
      <c r="H18" s="3" t="s">
        <v>251</v>
      </c>
      <c r="I18" s="3" t="s">
        <v>399</v>
      </c>
      <c r="J18" s="154" t="s">
        <v>531</v>
      </c>
      <c r="K18" s="154" t="s">
        <v>446</v>
      </c>
      <c r="L18" s="3" t="s">
        <v>394</v>
      </c>
      <c r="M18" s="7">
        <v>2.77</v>
      </c>
      <c r="N18" s="7">
        <v>-20.97</v>
      </c>
      <c r="O18" s="3" t="s">
        <v>252</v>
      </c>
      <c r="P18" t="s">
        <v>218</v>
      </c>
      <c r="Q18" t="s">
        <v>216</v>
      </c>
    </row>
    <row r="19" spans="1:17" x14ac:dyDescent="0.3">
      <c r="A19" s="2"/>
      <c r="B19" s="6">
        <v>46082</v>
      </c>
      <c r="C19" s="6">
        <v>46112</v>
      </c>
      <c r="D19" s="3" t="s">
        <v>395</v>
      </c>
      <c r="E19" s="154" t="s">
        <v>446</v>
      </c>
      <c r="F19" s="3" t="s">
        <v>57</v>
      </c>
      <c r="G19" s="153">
        <v>61240</v>
      </c>
      <c r="H19" s="3" t="s">
        <v>251</v>
      </c>
      <c r="I19" s="3" t="s">
        <v>400</v>
      </c>
      <c r="J19" s="154" t="s">
        <v>531</v>
      </c>
      <c r="K19" s="154" t="s">
        <v>446</v>
      </c>
      <c r="L19" s="3" t="s">
        <v>394</v>
      </c>
      <c r="M19" s="7">
        <v>-13.37</v>
      </c>
      <c r="N19" s="7">
        <v>132.15</v>
      </c>
      <c r="O19" s="3" t="s">
        <v>252</v>
      </c>
      <c r="P19" t="s">
        <v>218</v>
      </c>
      <c r="Q19" t="s">
        <v>216</v>
      </c>
    </row>
    <row r="20" spans="1:17" x14ac:dyDescent="0.3">
      <c r="A20" s="2"/>
      <c r="B20" s="6">
        <v>46082</v>
      </c>
      <c r="C20" s="6">
        <v>46112</v>
      </c>
      <c r="D20" s="3" t="s">
        <v>395</v>
      </c>
      <c r="E20" s="154" t="s">
        <v>446</v>
      </c>
      <c r="F20" s="3" t="s">
        <v>58</v>
      </c>
      <c r="G20" s="153">
        <v>61300</v>
      </c>
      <c r="H20" s="3" t="s">
        <v>251</v>
      </c>
      <c r="I20" s="3" t="s">
        <v>399</v>
      </c>
      <c r="J20" s="154" t="s">
        <v>531</v>
      </c>
      <c r="K20" s="154" t="s">
        <v>446</v>
      </c>
      <c r="L20" s="3" t="s">
        <v>394</v>
      </c>
      <c r="M20" s="7">
        <v>-433.74</v>
      </c>
      <c r="N20" s="7">
        <v>5226.96</v>
      </c>
      <c r="O20" s="3" t="s">
        <v>252</v>
      </c>
      <c r="P20" t="s">
        <v>218</v>
      </c>
      <c r="Q20" t="s">
        <v>216</v>
      </c>
    </row>
    <row r="21" spans="1:17" x14ac:dyDescent="0.3">
      <c r="A21" s="2"/>
      <c r="B21" s="6">
        <v>46082</v>
      </c>
      <c r="C21" s="6">
        <v>46112</v>
      </c>
      <c r="D21" s="3" t="s">
        <v>397</v>
      </c>
      <c r="E21" s="154" t="s">
        <v>446</v>
      </c>
      <c r="F21" s="3" t="s">
        <v>71</v>
      </c>
      <c r="G21" s="153">
        <v>63500</v>
      </c>
      <c r="H21" s="3" t="s">
        <v>251</v>
      </c>
      <c r="I21" s="3" t="s">
        <v>406</v>
      </c>
      <c r="J21" s="154" t="s">
        <v>539</v>
      </c>
      <c r="K21" s="154" t="s">
        <v>446</v>
      </c>
      <c r="L21" s="3" t="s">
        <v>163</v>
      </c>
      <c r="M21" s="7">
        <v>1887.8</v>
      </c>
      <c r="N21" s="7">
        <v>5943</v>
      </c>
      <c r="O21" s="3" t="s">
        <v>252</v>
      </c>
      <c r="P21" t="s">
        <v>219</v>
      </c>
      <c r="Q21" t="s">
        <v>216</v>
      </c>
    </row>
    <row r="22" spans="1:17" x14ac:dyDescent="0.3">
      <c r="A22" s="2"/>
      <c r="B22" s="6">
        <v>46082</v>
      </c>
      <c r="C22" s="6">
        <v>46112</v>
      </c>
      <c r="D22" s="3" t="s">
        <v>251</v>
      </c>
      <c r="E22" s="154" t="s">
        <v>446</v>
      </c>
      <c r="F22" s="3" t="s">
        <v>87</v>
      </c>
      <c r="G22" s="153">
        <v>65140</v>
      </c>
      <c r="H22" s="3" t="s">
        <v>251</v>
      </c>
      <c r="I22" s="3" t="s">
        <v>405</v>
      </c>
      <c r="J22" s="154" t="s">
        <v>522</v>
      </c>
      <c r="K22" s="154" t="s">
        <v>446</v>
      </c>
      <c r="L22" s="3" t="s">
        <v>545</v>
      </c>
      <c r="M22" s="7">
        <v>28.11</v>
      </c>
      <c r="N22" s="7">
        <v>235.79</v>
      </c>
      <c r="O22" s="3" t="s">
        <v>491</v>
      </c>
      <c r="P22" t="s">
        <v>221</v>
      </c>
      <c r="Q22" t="s">
        <v>216</v>
      </c>
    </row>
    <row r="23" spans="1:17" x14ac:dyDescent="0.3">
      <c r="A23" s="2"/>
      <c r="B23" s="6">
        <v>46082</v>
      </c>
      <c r="C23" s="6">
        <v>46112</v>
      </c>
      <c r="D23" s="3" t="s">
        <v>251</v>
      </c>
      <c r="E23" s="154" t="s">
        <v>446</v>
      </c>
      <c r="F23" s="3" t="s">
        <v>94</v>
      </c>
      <c r="G23" s="153">
        <v>66140</v>
      </c>
      <c r="H23" s="3" t="s">
        <v>251</v>
      </c>
      <c r="I23" s="3" t="s">
        <v>405</v>
      </c>
      <c r="J23" s="154" t="s">
        <v>532</v>
      </c>
      <c r="K23" s="154" t="s">
        <v>446</v>
      </c>
      <c r="L23" s="3" t="s">
        <v>545</v>
      </c>
      <c r="M23" s="7">
        <v>19.239999999999998</v>
      </c>
      <c r="N23" s="7">
        <v>309.75</v>
      </c>
      <c r="O23" s="3" t="s">
        <v>252</v>
      </c>
      <c r="P23" t="s">
        <v>222</v>
      </c>
      <c r="Q23" t="s">
        <v>216</v>
      </c>
    </row>
    <row r="24" spans="1:17" x14ac:dyDescent="0.3">
      <c r="A24" s="2"/>
      <c r="B24" s="6">
        <v>46083</v>
      </c>
      <c r="C24" s="6">
        <v>46112</v>
      </c>
      <c r="D24" s="3" t="s">
        <v>409</v>
      </c>
      <c r="E24" s="154" t="s">
        <v>446</v>
      </c>
      <c r="F24" s="3" t="s">
        <v>551</v>
      </c>
      <c r="G24" s="153">
        <v>41000</v>
      </c>
      <c r="H24" s="3" t="s">
        <v>34</v>
      </c>
      <c r="I24" s="3" t="s">
        <v>402</v>
      </c>
      <c r="J24" s="154" t="s">
        <v>526</v>
      </c>
      <c r="K24" s="154" t="s">
        <v>446</v>
      </c>
      <c r="L24" s="3" t="s">
        <v>141</v>
      </c>
      <c r="M24" s="7">
        <v>337.5</v>
      </c>
      <c r="N24" s="7">
        <v>238393.44</v>
      </c>
      <c r="O24" s="3" t="s">
        <v>492</v>
      </c>
      <c r="P24" t="s">
        <v>492</v>
      </c>
      <c r="Q24" t="s">
        <v>208</v>
      </c>
    </row>
    <row r="25" spans="1:17" x14ac:dyDescent="0.3">
      <c r="A25" s="2"/>
      <c r="B25" s="6">
        <v>46083</v>
      </c>
      <c r="C25" s="6">
        <v>46112</v>
      </c>
      <c r="D25" s="3" t="s">
        <v>409</v>
      </c>
      <c r="E25" s="154" t="s">
        <v>446</v>
      </c>
      <c r="F25" s="3" t="s">
        <v>551</v>
      </c>
      <c r="G25" s="153">
        <v>41000</v>
      </c>
      <c r="H25" s="3" t="s">
        <v>34</v>
      </c>
      <c r="I25" s="3" t="s">
        <v>402</v>
      </c>
      <c r="J25" s="154" t="s">
        <v>464</v>
      </c>
      <c r="K25" s="154" t="s">
        <v>446</v>
      </c>
      <c r="L25" s="3" t="s">
        <v>141</v>
      </c>
      <c r="M25" s="7">
        <v>3540</v>
      </c>
      <c r="N25" s="7">
        <v>241933.44</v>
      </c>
      <c r="O25" s="3" t="s">
        <v>492</v>
      </c>
      <c r="P25" t="s">
        <v>492</v>
      </c>
      <c r="Q25" t="s">
        <v>208</v>
      </c>
    </row>
    <row r="26" spans="1:17" x14ac:dyDescent="0.3">
      <c r="A26" s="2"/>
      <c r="B26" s="6">
        <v>46083</v>
      </c>
      <c r="C26" s="6">
        <v>46112</v>
      </c>
      <c r="D26" s="3" t="s">
        <v>409</v>
      </c>
      <c r="E26" s="154" t="s">
        <v>446</v>
      </c>
      <c r="F26" s="3" t="s">
        <v>551</v>
      </c>
      <c r="G26" s="153">
        <v>41000</v>
      </c>
      <c r="H26" s="3" t="s">
        <v>34</v>
      </c>
      <c r="I26" s="3" t="s">
        <v>402</v>
      </c>
      <c r="J26" s="154" t="s">
        <v>527</v>
      </c>
      <c r="K26" s="154" t="s">
        <v>446</v>
      </c>
      <c r="L26" s="3" t="s">
        <v>141</v>
      </c>
      <c r="M26" s="7">
        <v>125</v>
      </c>
      <c r="N26" s="7">
        <v>242058.44</v>
      </c>
      <c r="O26" s="3" t="s">
        <v>492</v>
      </c>
      <c r="P26" t="s">
        <v>492</v>
      </c>
      <c r="Q26" t="s">
        <v>208</v>
      </c>
    </row>
    <row r="27" spans="1:17" x14ac:dyDescent="0.3">
      <c r="A27" s="2"/>
      <c r="B27" s="6">
        <v>46083</v>
      </c>
      <c r="C27" s="6">
        <v>46112</v>
      </c>
      <c r="D27" s="3" t="s">
        <v>409</v>
      </c>
      <c r="E27" s="154" t="s">
        <v>446</v>
      </c>
      <c r="F27" s="3" t="s">
        <v>551</v>
      </c>
      <c r="G27" s="153">
        <v>41000</v>
      </c>
      <c r="H27" s="3" t="s">
        <v>34</v>
      </c>
      <c r="I27" s="3" t="s">
        <v>402</v>
      </c>
      <c r="J27" s="154" t="s">
        <v>526</v>
      </c>
      <c r="K27" s="154" t="s">
        <v>446</v>
      </c>
      <c r="L27" s="3" t="s">
        <v>141</v>
      </c>
      <c r="M27" s="7">
        <v>125</v>
      </c>
      <c r="N27" s="7">
        <v>242183.44</v>
      </c>
      <c r="O27" s="3" t="s">
        <v>492</v>
      </c>
      <c r="P27" t="s">
        <v>492</v>
      </c>
      <c r="Q27" t="s">
        <v>208</v>
      </c>
    </row>
    <row r="28" spans="1:17" x14ac:dyDescent="0.3">
      <c r="A28" s="2"/>
      <c r="B28" s="6">
        <v>46083</v>
      </c>
      <c r="C28" s="6">
        <v>46112</v>
      </c>
      <c r="D28" s="3" t="s">
        <v>409</v>
      </c>
      <c r="E28" s="154" t="s">
        <v>446</v>
      </c>
      <c r="F28" s="3" t="s">
        <v>551</v>
      </c>
      <c r="G28" s="153">
        <v>41000</v>
      </c>
      <c r="H28" s="3" t="s">
        <v>34</v>
      </c>
      <c r="I28" s="3" t="s">
        <v>402</v>
      </c>
      <c r="J28" s="154" t="s">
        <v>464</v>
      </c>
      <c r="K28" s="154" t="s">
        <v>446</v>
      </c>
      <c r="L28" s="3" t="s">
        <v>141</v>
      </c>
      <c r="M28" s="7">
        <v>200</v>
      </c>
      <c r="N28" s="7">
        <v>242383.44</v>
      </c>
      <c r="O28" s="3" t="s">
        <v>492</v>
      </c>
      <c r="P28" t="s">
        <v>492</v>
      </c>
      <c r="Q28" t="s">
        <v>208</v>
      </c>
    </row>
    <row r="29" spans="1:17" x14ac:dyDescent="0.3">
      <c r="A29" s="2"/>
      <c r="B29" s="6">
        <v>46083</v>
      </c>
      <c r="C29" s="6">
        <v>46112</v>
      </c>
      <c r="D29" s="3" t="s">
        <v>409</v>
      </c>
      <c r="E29" s="154" t="s">
        <v>446</v>
      </c>
      <c r="F29" s="3" t="s">
        <v>551</v>
      </c>
      <c r="G29" s="153">
        <v>41000</v>
      </c>
      <c r="H29" s="3" t="s">
        <v>34</v>
      </c>
      <c r="I29" s="3" t="s">
        <v>402</v>
      </c>
      <c r="J29" s="154" t="s">
        <v>527</v>
      </c>
      <c r="K29" s="154" t="s">
        <v>446</v>
      </c>
      <c r="L29" s="3" t="s">
        <v>141</v>
      </c>
      <c r="M29" s="7">
        <v>300</v>
      </c>
      <c r="N29" s="7">
        <v>242683.44</v>
      </c>
      <c r="O29" s="3" t="s">
        <v>492</v>
      </c>
      <c r="P29" t="s">
        <v>492</v>
      </c>
      <c r="Q29" t="s">
        <v>208</v>
      </c>
    </row>
    <row r="30" spans="1:17" x14ac:dyDescent="0.3">
      <c r="A30" s="2"/>
      <c r="B30" s="6">
        <v>46083</v>
      </c>
      <c r="C30" s="6">
        <v>46112</v>
      </c>
      <c r="D30" s="3" t="s">
        <v>409</v>
      </c>
      <c r="E30" s="154" t="s">
        <v>446</v>
      </c>
      <c r="F30" s="3" t="s">
        <v>551</v>
      </c>
      <c r="G30" s="153">
        <v>41000</v>
      </c>
      <c r="H30" s="3" t="s">
        <v>34</v>
      </c>
      <c r="I30" s="3" t="s">
        <v>402</v>
      </c>
      <c r="J30" s="154" t="s">
        <v>526</v>
      </c>
      <c r="K30" s="154" t="s">
        <v>446</v>
      </c>
      <c r="L30" s="3" t="s">
        <v>141</v>
      </c>
      <c r="M30" s="7">
        <v>3360</v>
      </c>
      <c r="N30" s="7">
        <v>246043.44</v>
      </c>
      <c r="O30" s="3" t="s">
        <v>492</v>
      </c>
      <c r="P30" t="s">
        <v>492</v>
      </c>
      <c r="Q30" t="s">
        <v>208</v>
      </c>
    </row>
    <row r="31" spans="1:17" x14ac:dyDescent="0.3">
      <c r="A31" s="2"/>
      <c r="B31" s="6">
        <v>46083</v>
      </c>
      <c r="C31" s="6">
        <v>46112</v>
      </c>
      <c r="D31" s="3" t="s">
        <v>409</v>
      </c>
      <c r="E31" s="154" t="s">
        <v>446</v>
      </c>
      <c r="F31" s="3" t="s">
        <v>551</v>
      </c>
      <c r="G31" s="153">
        <v>41000</v>
      </c>
      <c r="H31" s="3" t="s">
        <v>34</v>
      </c>
      <c r="I31" s="3" t="s">
        <v>402</v>
      </c>
      <c r="J31" s="154" t="s">
        <v>464</v>
      </c>
      <c r="K31" s="154" t="s">
        <v>446</v>
      </c>
      <c r="L31" s="3" t="s">
        <v>141</v>
      </c>
      <c r="M31" s="7">
        <v>610</v>
      </c>
      <c r="N31" s="7">
        <v>246653.44</v>
      </c>
      <c r="O31" s="3" t="s">
        <v>492</v>
      </c>
      <c r="P31" t="s">
        <v>492</v>
      </c>
      <c r="Q31" t="s">
        <v>208</v>
      </c>
    </row>
    <row r="32" spans="1:17" x14ac:dyDescent="0.3">
      <c r="A32" s="2"/>
      <c r="B32" s="6">
        <v>46083</v>
      </c>
      <c r="C32" s="6">
        <v>46112</v>
      </c>
      <c r="D32" s="3" t="s">
        <v>409</v>
      </c>
      <c r="E32" s="154" t="s">
        <v>446</v>
      </c>
      <c r="F32" s="3" t="s">
        <v>551</v>
      </c>
      <c r="G32" s="153">
        <v>41000</v>
      </c>
      <c r="H32" s="3" t="s">
        <v>34</v>
      </c>
      <c r="I32" s="3" t="s">
        <v>402</v>
      </c>
      <c r="J32" s="154" t="s">
        <v>527</v>
      </c>
      <c r="K32" s="154" t="s">
        <v>446</v>
      </c>
      <c r="L32" s="3" t="s">
        <v>141</v>
      </c>
      <c r="M32" s="7">
        <v>300</v>
      </c>
      <c r="N32" s="7">
        <v>246953.44</v>
      </c>
      <c r="O32" s="3" t="s">
        <v>492</v>
      </c>
      <c r="P32" t="s">
        <v>492</v>
      </c>
      <c r="Q32" t="s">
        <v>208</v>
      </c>
    </row>
    <row r="33" spans="1:17" x14ac:dyDescent="0.3">
      <c r="A33" s="2"/>
      <c r="B33" s="6">
        <v>46083</v>
      </c>
      <c r="C33" s="6">
        <v>46112</v>
      </c>
      <c r="D33" s="3" t="s">
        <v>409</v>
      </c>
      <c r="E33" s="154" t="s">
        <v>446</v>
      </c>
      <c r="F33" s="3" t="s">
        <v>551</v>
      </c>
      <c r="G33" s="153">
        <v>41000</v>
      </c>
      <c r="H33" s="3" t="s">
        <v>34</v>
      </c>
      <c r="I33" s="3" t="s">
        <v>402</v>
      </c>
      <c r="J33" s="154" t="s">
        <v>526</v>
      </c>
      <c r="K33" s="154" t="s">
        <v>446</v>
      </c>
      <c r="L33" s="3" t="s">
        <v>141</v>
      </c>
      <c r="M33" s="7">
        <v>1500</v>
      </c>
      <c r="N33" s="7">
        <v>248453.44</v>
      </c>
      <c r="O33" s="3" t="s">
        <v>492</v>
      </c>
      <c r="P33" t="s">
        <v>492</v>
      </c>
      <c r="Q33" t="s">
        <v>208</v>
      </c>
    </row>
    <row r="34" spans="1:17" x14ac:dyDescent="0.3">
      <c r="A34" s="2"/>
      <c r="B34" s="6">
        <v>46083</v>
      </c>
      <c r="C34" s="6">
        <v>46112</v>
      </c>
      <c r="D34" s="3" t="s">
        <v>409</v>
      </c>
      <c r="E34" s="154" t="s">
        <v>446</v>
      </c>
      <c r="F34" s="3" t="s">
        <v>551</v>
      </c>
      <c r="G34" s="153">
        <v>41000</v>
      </c>
      <c r="H34" s="3" t="s">
        <v>34</v>
      </c>
      <c r="I34" s="3" t="s">
        <v>402</v>
      </c>
      <c r="J34" s="154" t="s">
        <v>464</v>
      </c>
      <c r="K34" s="154" t="s">
        <v>446</v>
      </c>
      <c r="L34" s="3" t="s">
        <v>141</v>
      </c>
      <c r="M34" s="7">
        <v>675</v>
      </c>
      <c r="N34" s="7">
        <v>249128.44</v>
      </c>
      <c r="O34" s="3" t="s">
        <v>492</v>
      </c>
      <c r="P34" t="s">
        <v>492</v>
      </c>
      <c r="Q34" t="s">
        <v>208</v>
      </c>
    </row>
    <row r="35" spans="1:17" x14ac:dyDescent="0.3">
      <c r="A35" s="2"/>
      <c r="B35" s="6">
        <v>46083</v>
      </c>
      <c r="C35" s="6">
        <v>46112</v>
      </c>
      <c r="D35" s="3" t="s">
        <v>409</v>
      </c>
      <c r="E35" s="154" t="s">
        <v>446</v>
      </c>
      <c r="F35" s="3" t="s">
        <v>551</v>
      </c>
      <c r="G35" s="153">
        <v>41000</v>
      </c>
      <c r="H35" s="3" t="s">
        <v>34</v>
      </c>
      <c r="I35" s="3" t="s">
        <v>402</v>
      </c>
      <c r="J35" s="154" t="s">
        <v>527</v>
      </c>
      <c r="K35" s="154" t="s">
        <v>446</v>
      </c>
      <c r="L35" s="3" t="s">
        <v>141</v>
      </c>
      <c r="M35" s="7">
        <v>-371.25</v>
      </c>
      <c r="N35" s="7">
        <v>248757.19</v>
      </c>
      <c r="O35" s="3" t="s">
        <v>492</v>
      </c>
      <c r="P35" t="s">
        <v>492</v>
      </c>
      <c r="Q35" t="s">
        <v>208</v>
      </c>
    </row>
    <row r="36" spans="1:17" x14ac:dyDescent="0.3">
      <c r="A36" s="2"/>
      <c r="B36" s="6">
        <v>46083</v>
      </c>
      <c r="C36" s="6">
        <v>46112</v>
      </c>
      <c r="D36" s="3" t="s">
        <v>409</v>
      </c>
      <c r="E36" s="154" t="s">
        <v>446</v>
      </c>
      <c r="F36" s="3" t="s">
        <v>551</v>
      </c>
      <c r="G36" s="153">
        <v>41000</v>
      </c>
      <c r="H36" s="3" t="s">
        <v>34</v>
      </c>
      <c r="I36" s="3" t="s">
        <v>402</v>
      </c>
      <c r="J36" s="154" t="s">
        <v>526</v>
      </c>
      <c r="K36" s="154" t="s">
        <v>446</v>
      </c>
      <c r="L36" s="3" t="s">
        <v>141</v>
      </c>
      <c r="M36" s="7">
        <v>950</v>
      </c>
      <c r="N36" s="7">
        <v>249707.19</v>
      </c>
      <c r="O36" s="3" t="s">
        <v>492</v>
      </c>
      <c r="P36" t="s">
        <v>492</v>
      </c>
      <c r="Q36" t="s">
        <v>208</v>
      </c>
    </row>
    <row r="37" spans="1:17" x14ac:dyDescent="0.3">
      <c r="A37" s="2"/>
      <c r="B37" s="6">
        <v>46083</v>
      </c>
      <c r="C37" s="6">
        <v>46112</v>
      </c>
      <c r="D37" s="3" t="s">
        <v>409</v>
      </c>
      <c r="E37" s="154" t="s">
        <v>446</v>
      </c>
      <c r="F37" s="3" t="s">
        <v>551</v>
      </c>
      <c r="G37" s="153">
        <v>41000</v>
      </c>
      <c r="H37" s="3" t="s">
        <v>34</v>
      </c>
      <c r="I37" s="3" t="s">
        <v>402</v>
      </c>
      <c r="J37" s="154" t="s">
        <v>464</v>
      </c>
      <c r="K37" s="154" t="s">
        <v>446</v>
      </c>
      <c r="L37" s="3" t="s">
        <v>141</v>
      </c>
      <c r="M37" s="7">
        <v>225</v>
      </c>
      <c r="N37" s="7">
        <v>249932.19</v>
      </c>
      <c r="O37" s="3" t="s">
        <v>492</v>
      </c>
      <c r="P37" t="s">
        <v>492</v>
      </c>
      <c r="Q37" t="s">
        <v>208</v>
      </c>
    </row>
    <row r="38" spans="1:17" x14ac:dyDescent="0.3">
      <c r="A38" s="2"/>
      <c r="B38" s="6">
        <v>46083</v>
      </c>
      <c r="C38" s="6">
        <v>46112</v>
      </c>
      <c r="D38" s="3" t="s">
        <v>409</v>
      </c>
      <c r="E38" s="154" t="s">
        <v>446</v>
      </c>
      <c r="F38" s="3" t="s">
        <v>551</v>
      </c>
      <c r="G38" s="153">
        <v>41000</v>
      </c>
      <c r="H38" s="3" t="s">
        <v>34</v>
      </c>
      <c r="I38" s="3" t="s">
        <v>402</v>
      </c>
      <c r="J38" s="154" t="s">
        <v>527</v>
      </c>
      <c r="K38" s="154" t="s">
        <v>446</v>
      </c>
      <c r="L38" s="3" t="s">
        <v>141</v>
      </c>
      <c r="M38" s="7">
        <v>350</v>
      </c>
      <c r="N38" s="7">
        <v>250282.19</v>
      </c>
      <c r="O38" s="3" t="s">
        <v>492</v>
      </c>
      <c r="P38" t="s">
        <v>492</v>
      </c>
      <c r="Q38" t="s">
        <v>208</v>
      </c>
    </row>
    <row r="39" spans="1:17" x14ac:dyDescent="0.3">
      <c r="A39" s="2"/>
      <c r="B39" s="6">
        <v>46083</v>
      </c>
      <c r="C39" s="6">
        <v>46112</v>
      </c>
      <c r="D39" s="3" t="s">
        <v>409</v>
      </c>
      <c r="E39" s="154" t="s">
        <v>446</v>
      </c>
      <c r="F39" s="3" t="s">
        <v>551</v>
      </c>
      <c r="G39" s="153">
        <v>41000</v>
      </c>
      <c r="H39" s="3" t="s">
        <v>34</v>
      </c>
      <c r="I39" s="3" t="s">
        <v>402</v>
      </c>
      <c r="J39" s="154" t="s">
        <v>526</v>
      </c>
      <c r="K39" s="154" t="s">
        <v>446</v>
      </c>
      <c r="L39" s="3" t="s">
        <v>141</v>
      </c>
      <c r="M39" s="7">
        <v>750</v>
      </c>
      <c r="N39" s="7">
        <v>251032.19</v>
      </c>
      <c r="O39" s="3" t="s">
        <v>492</v>
      </c>
      <c r="P39" t="s">
        <v>492</v>
      </c>
      <c r="Q39" t="s">
        <v>208</v>
      </c>
    </row>
    <row r="40" spans="1:17" x14ac:dyDescent="0.3">
      <c r="A40" s="2"/>
      <c r="B40" s="6">
        <v>46083</v>
      </c>
      <c r="C40" s="6">
        <v>46112</v>
      </c>
      <c r="D40" s="3" t="s">
        <v>409</v>
      </c>
      <c r="E40" s="154" t="s">
        <v>446</v>
      </c>
      <c r="F40" s="3" t="s">
        <v>551</v>
      </c>
      <c r="G40" s="153">
        <v>41000</v>
      </c>
      <c r="H40" s="3" t="s">
        <v>34</v>
      </c>
      <c r="I40" s="3" t="s">
        <v>402</v>
      </c>
      <c r="J40" s="154" t="s">
        <v>464</v>
      </c>
      <c r="K40" s="154" t="s">
        <v>446</v>
      </c>
      <c r="L40" s="3" t="s">
        <v>141</v>
      </c>
      <c r="M40" s="7">
        <v>250</v>
      </c>
      <c r="N40" s="7">
        <v>251282.19</v>
      </c>
      <c r="O40" s="3" t="s">
        <v>492</v>
      </c>
      <c r="P40" t="s">
        <v>492</v>
      </c>
      <c r="Q40" t="s">
        <v>208</v>
      </c>
    </row>
    <row r="41" spans="1:17" x14ac:dyDescent="0.3">
      <c r="A41" s="2"/>
      <c r="B41" s="6">
        <v>46083</v>
      </c>
      <c r="C41" s="6">
        <v>46112</v>
      </c>
      <c r="D41" s="3" t="s">
        <v>409</v>
      </c>
      <c r="E41" s="154" t="s">
        <v>446</v>
      </c>
      <c r="F41" s="3" t="s">
        <v>551</v>
      </c>
      <c r="G41" s="153">
        <v>41000</v>
      </c>
      <c r="H41" s="3" t="s">
        <v>34</v>
      </c>
      <c r="I41" s="3" t="s">
        <v>402</v>
      </c>
      <c r="J41" s="154" t="s">
        <v>527</v>
      </c>
      <c r="K41" s="154" t="s">
        <v>446</v>
      </c>
      <c r="L41" s="3" t="s">
        <v>141</v>
      </c>
      <c r="M41" s="7">
        <v>12337.5</v>
      </c>
      <c r="N41" s="7">
        <v>263619.69</v>
      </c>
      <c r="O41" s="3" t="s">
        <v>492</v>
      </c>
      <c r="P41" t="s">
        <v>492</v>
      </c>
      <c r="Q41" t="s">
        <v>208</v>
      </c>
    </row>
    <row r="42" spans="1:17" x14ac:dyDescent="0.3">
      <c r="A42" s="2"/>
      <c r="B42" s="6">
        <v>46083</v>
      </c>
      <c r="C42" s="6">
        <v>46112</v>
      </c>
      <c r="D42" s="3" t="s">
        <v>409</v>
      </c>
      <c r="E42" s="154" t="s">
        <v>446</v>
      </c>
      <c r="F42" s="3" t="s">
        <v>551</v>
      </c>
      <c r="G42" s="153">
        <v>41000</v>
      </c>
      <c r="H42" s="3" t="s">
        <v>34</v>
      </c>
      <c r="I42" s="3" t="s">
        <v>402</v>
      </c>
      <c r="J42" s="154" t="s">
        <v>526</v>
      </c>
      <c r="K42" s="154" t="s">
        <v>446</v>
      </c>
      <c r="L42" s="3" t="s">
        <v>141</v>
      </c>
      <c r="M42" s="7">
        <v>675</v>
      </c>
      <c r="N42" s="7">
        <v>264294.69</v>
      </c>
      <c r="O42" s="3" t="s">
        <v>492</v>
      </c>
      <c r="P42" t="s">
        <v>492</v>
      </c>
      <c r="Q42" t="s">
        <v>208</v>
      </c>
    </row>
    <row r="43" spans="1:17" x14ac:dyDescent="0.3">
      <c r="A43" s="2"/>
      <c r="B43" s="6">
        <v>46083</v>
      </c>
      <c r="C43" s="6">
        <v>46112</v>
      </c>
      <c r="D43" s="3" t="s">
        <v>409</v>
      </c>
      <c r="E43" s="154" t="s">
        <v>446</v>
      </c>
      <c r="F43" s="3" t="s">
        <v>551</v>
      </c>
      <c r="G43" s="153">
        <v>41000</v>
      </c>
      <c r="H43" s="3" t="s">
        <v>34</v>
      </c>
      <c r="I43" s="3" t="s">
        <v>402</v>
      </c>
      <c r="J43" s="154" t="s">
        <v>464</v>
      </c>
      <c r="K43" s="154" t="s">
        <v>446</v>
      </c>
      <c r="L43" s="3" t="s">
        <v>141</v>
      </c>
      <c r="M43" s="7">
        <v>500</v>
      </c>
      <c r="N43" s="7">
        <v>264794.69</v>
      </c>
      <c r="O43" s="3" t="s">
        <v>492</v>
      </c>
      <c r="P43" t="s">
        <v>492</v>
      </c>
      <c r="Q43" t="s">
        <v>208</v>
      </c>
    </row>
    <row r="44" spans="1:17" x14ac:dyDescent="0.3">
      <c r="A44" s="2"/>
      <c r="B44" s="6">
        <v>46083</v>
      </c>
      <c r="C44" s="6">
        <v>46112</v>
      </c>
      <c r="D44" s="3" t="s">
        <v>409</v>
      </c>
      <c r="E44" s="154" t="s">
        <v>446</v>
      </c>
      <c r="F44" s="3" t="s">
        <v>551</v>
      </c>
      <c r="G44" s="153">
        <v>41000</v>
      </c>
      <c r="H44" s="3" t="s">
        <v>34</v>
      </c>
      <c r="I44" s="3" t="s">
        <v>402</v>
      </c>
      <c r="J44" s="154" t="s">
        <v>527</v>
      </c>
      <c r="K44" s="154" t="s">
        <v>446</v>
      </c>
      <c r="L44" s="3" t="s">
        <v>141</v>
      </c>
      <c r="M44" s="7">
        <v>216</v>
      </c>
      <c r="N44" s="7">
        <v>265010.69</v>
      </c>
      <c r="O44" s="3" t="s">
        <v>492</v>
      </c>
      <c r="P44" t="s">
        <v>492</v>
      </c>
      <c r="Q44" t="s">
        <v>208</v>
      </c>
    </row>
    <row r="45" spans="1:17" x14ac:dyDescent="0.3">
      <c r="A45" s="2"/>
      <c r="B45" s="6">
        <v>46083</v>
      </c>
      <c r="C45" s="6">
        <v>46112</v>
      </c>
      <c r="D45" s="3" t="s">
        <v>409</v>
      </c>
      <c r="E45" s="154" t="s">
        <v>446</v>
      </c>
      <c r="F45" s="3" t="s">
        <v>551</v>
      </c>
      <c r="G45" s="153">
        <v>41000</v>
      </c>
      <c r="H45" s="3" t="s">
        <v>34</v>
      </c>
      <c r="I45" s="3" t="s">
        <v>402</v>
      </c>
      <c r="J45" s="154" t="s">
        <v>526</v>
      </c>
      <c r="K45" s="154" t="s">
        <v>446</v>
      </c>
      <c r="L45" s="3" t="s">
        <v>141</v>
      </c>
      <c r="M45" s="7">
        <v>400</v>
      </c>
      <c r="N45" s="7">
        <v>265410.69</v>
      </c>
      <c r="O45" s="3" t="s">
        <v>492</v>
      </c>
      <c r="P45" t="s">
        <v>492</v>
      </c>
      <c r="Q45" t="s">
        <v>208</v>
      </c>
    </row>
    <row r="46" spans="1:17" x14ac:dyDescent="0.3">
      <c r="A46" s="2"/>
      <c r="B46" s="6">
        <v>46083</v>
      </c>
      <c r="C46" s="6">
        <v>46112</v>
      </c>
      <c r="D46" s="3" t="s">
        <v>409</v>
      </c>
      <c r="E46" s="154" t="s">
        <v>446</v>
      </c>
      <c r="F46" s="3" t="s">
        <v>551</v>
      </c>
      <c r="G46" s="153">
        <v>41000</v>
      </c>
      <c r="H46" s="3" t="s">
        <v>34</v>
      </c>
      <c r="I46" s="3" t="s">
        <v>402</v>
      </c>
      <c r="J46" s="154" t="s">
        <v>464</v>
      </c>
      <c r="K46" s="154" t="s">
        <v>446</v>
      </c>
      <c r="L46" s="3" t="s">
        <v>141</v>
      </c>
      <c r="M46" s="7">
        <v>600</v>
      </c>
      <c r="N46" s="7">
        <v>266010.69</v>
      </c>
      <c r="O46" s="3" t="s">
        <v>492</v>
      </c>
      <c r="P46" t="s">
        <v>492</v>
      </c>
      <c r="Q46" t="s">
        <v>208</v>
      </c>
    </row>
    <row r="47" spans="1:17" x14ac:dyDescent="0.3">
      <c r="A47" s="2"/>
      <c r="B47" s="6">
        <v>46083</v>
      </c>
      <c r="C47" s="6">
        <v>46112</v>
      </c>
      <c r="D47" s="3" t="s">
        <v>409</v>
      </c>
      <c r="E47" s="154" t="s">
        <v>446</v>
      </c>
      <c r="F47" s="3" t="s">
        <v>551</v>
      </c>
      <c r="G47" s="153">
        <v>41000</v>
      </c>
      <c r="H47" s="3" t="s">
        <v>34</v>
      </c>
      <c r="I47" s="3" t="s">
        <v>402</v>
      </c>
      <c r="J47" s="154" t="s">
        <v>527</v>
      </c>
      <c r="K47" s="154" t="s">
        <v>446</v>
      </c>
      <c r="L47" s="3" t="s">
        <v>141</v>
      </c>
      <c r="M47" s="7">
        <v>100</v>
      </c>
      <c r="N47" s="7">
        <v>266110.69</v>
      </c>
      <c r="O47" s="3" t="s">
        <v>492</v>
      </c>
      <c r="P47" t="s">
        <v>492</v>
      </c>
      <c r="Q47" t="s">
        <v>208</v>
      </c>
    </row>
    <row r="48" spans="1:17" x14ac:dyDescent="0.3">
      <c r="A48" s="2"/>
      <c r="B48" s="6">
        <v>46083</v>
      </c>
      <c r="C48" s="6">
        <v>46112</v>
      </c>
      <c r="D48" s="3" t="s">
        <v>409</v>
      </c>
      <c r="E48" s="154" t="s">
        <v>446</v>
      </c>
      <c r="F48" s="3" t="s">
        <v>551</v>
      </c>
      <c r="G48" s="153">
        <v>41000</v>
      </c>
      <c r="H48" s="3" t="s">
        <v>34</v>
      </c>
      <c r="I48" s="3" t="s">
        <v>402</v>
      </c>
      <c r="J48" s="154" t="s">
        <v>526</v>
      </c>
      <c r="K48" s="154" t="s">
        <v>446</v>
      </c>
      <c r="L48" s="3" t="s">
        <v>141</v>
      </c>
      <c r="M48" s="7">
        <v>225</v>
      </c>
      <c r="N48" s="7">
        <v>266335.69</v>
      </c>
      <c r="O48" s="3" t="s">
        <v>492</v>
      </c>
      <c r="P48" t="s">
        <v>492</v>
      </c>
      <c r="Q48" t="s">
        <v>208</v>
      </c>
    </row>
    <row r="49" spans="1:17" x14ac:dyDescent="0.3">
      <c r="A49" s="2"/>
      <c r="B49" s="6">
        <v>46083</v>
      </c>
      <c r="C49" s="6">
        <v>46112</v>
      </c>
      <c r="D49" s="3" t="s">
        <v>409</v>
      </c>
      <c r="E49" s="154" t="s">
        <v>446</v>
      </c>
      <c r="F49" s="3" t="s">
        <v>551</v>
      </c>
      <c r="G49" s="153">
        <v>41000</v>
      </c>
      <c r="H49" s="3" t="s">
        <v>34</v>
      </c>
      <c r="I49" s="3" t="s">
        <v>402</v>
      </c>
      <c r="J49" s="154" t="s">
        <v>464</v>
      </c>
      <c r="K49" s="154" t="s">
        <v>446</v>
      </c>
      <c r="L49" s="3" t="s">
        <v>141</v>
      </c>
      <c r="M49" s="7">
        <v>450</v>
      </c>
      <c r="N49" s="7">
        <v>266785.69</v>
      </c>
      <c r="O49" s="3" t="s">
        <v>492</v>
      </c>
      <c r="P49" t="s">
        <v>492</v>
      </c>
      <c r="Q49" t="s">
        <v>208</v>
      </c>
    </row>
    <row r="50" spans="1:17" x14ac:dyDescent="0.3">
      <c r="A50" s="2"/>
      <c r="B50" s="6">
        <v>46083</v>
      </c>
      <c r="C50" s="6">
        <v>46112</v>
      </c>
      <c r="D50" s="3" t="s">
        <v>409</v>
      </c>
      <c r="E50" s="154" t="s">
        <v>446</v>
      </c>
      <c r="F50" s="3" t="s">
        <v>551</v>
      </c>
      <c r="G50" s="153">
        <v>41000</v>
      </c>
      <c r="H50" s="3" t="s">
        <v>34</v>
      </c>
      <c r="I50" s="3" t="s">
        <v>402</v>
      </c>
      <c r="J50" s="154" t="s">
        <v>527</v>
      </c>
      <c r="K50" s="154" t="s">
        <v>446</v>
      </c>
      <c r="L50" s="3" t="s">
        <v>141</v>
      </c>
      <c r="M50" s="7">
        <v>225</v>
      </c>
      <c r="N50" s="7">
        <v>267010.69</v>
      </c>
      <c r="O50" s="3" t="s">
        <v>492</v>
      </c>
      <c r="P50" t="s">
        <v>492</v>
      </c>
      <c r="Q50" t="s">
        <v>208</v>
      </c>
    </row>
    <row r="51" spans="1:17" x14ac:dyDescent="0.3">
      <c r="A51" s="2"/>
      <c r="B51" s="6">
        <v>46083</v>
      </c>
      <c r="C51" s="6">
        <v>46112</v>
      </c>
      <c r="D51" s="3" t="s">
        <v>409</v>
      </c>
      <c r="E51" s="154" t="s">
        <v>446</v>
      </c>
      <c r="F51" s="3" t="s">
        <v>551</v>
      </c>
      <c r="G51" s="153">
        <v>41000</v>
      </c>
      <c r="H51" s="3" t="s">
        <v>34</v>
      </c>
      <c r="I51" s="3" t="s">
        <v>402</v>
      </c>
      <c r="J51" s="154" t="s">
        <v>526</v>
      </c>
      <c r="K51" s="154" t="s">
        <v>446</v>
      </c>
      <c r="L51" s="3" t="s">
        <v>141</v>
      </c>
      <c r="M51" s="7">
        <v>1300</v>
      </c>
      <c r="N51" s="7">
        <v>268310.69</v>
      </c>
      <c r="O51" s="3" t="s">
        <v>492</v>
      </c>
      <c r="P51" t="s">
        <v>492</v>
      </c>
      <c r="Q51" t="s">
        <v>208</v>
      </c>
    </row>
    <row r="52" spans="1:17" x14ac:dyDescent="0.3">
      <c r="A52" s="2"/>
      <c r="B52" s="6">
        <v>46083</v>
      </c>
      <c r="C52" s="6">
        <v>46112</v>
      </c>
      <c r="D52" s="3" t="s">
        <v>409</v>
      </c>
      <c r="E52" s="154" t="s">
        <v>446</v>
      </c>
      <c r="F52" s="3" t="s">
        <v>551</v>
      </c>
      <c r="G52" s="153">
        <v>41000</v>
      </c>
      <c r="H52" s="3" t="s">
        <v>34</v>
      </c>
      <c r="I52" s="3" t="s">
        <v>402</v>
      </c>
      <c r="J52" s="154" t="s">
        <v>464</v>
      </c>
      <c r="K52" s="154" t="s">
        <v>446</v>
      </c>
      <c r="L52" s="3" t="s">
        <v>141</v>
      </c>
      <c r="M52" s="7">
        <v>2400</v>
      </c>
      <c r="N52" s="7">
        <v>270710.69</v>
      </c>
      <c r="O52" s="3" t="s">
        <v>492</v>
      </c>
      <c r="P52" t="s">
        <v>492</v>
      </c>
      <c r="Q52" t="s">
        <v>208</v>
      </c>
    </row>
    <row r="53" spans="1:17" x14ac:dyDescent="0.3">
      <c r="A53" s="2"/>
      <c r="B53" s="6">
        <v>46083</v>
      </c>
      <c r="C53" s="6">
        <v>46112</v>
      </c>
      <c r="D53" s="3" t="s">
        <v>409</v>
      </c>
      <c r="E53" s="154" t="s">
        <v>446</v>
      </c>
      <c r="F53" s="3" t="s">
        <v>551</v>
      </c>
      <c r="G53" s="153">
        <v>41000</v>
      </c>
      <c r="H53" s="3" t="s">
        <v>34</v>
      </c>
      <c r="I53" s="3" t="s">
        <v>402</v>
      </c>
      <c r="J53" s="154" t="s">
        <v>527</v>
      </c>
      <c r="K53" s="154" t="s">
        <v>446</v>
      </c>
      <c r="L53" s="3" t="s">
        <v>141</v>
      </c>
      <c r="M53" s="7">
        <v>400</v>
      </c>
      <c r="N53" s="7">
        <v>271110.69</v>
      </c>
      <c r="O53" s="3" t="s">
        <v>492</v>
      </c>
      <c r="P53" t="s">
        <v>492</v>
      </c>
      <c r="Q53" t="s">
        <v>208</v>
      </c>
    </row>
    <row r="54" spans="1:17" x14ac:dyDescent="0.3">
      <c r="A54" s="2"/>
      <c r="B54" s="6">
        <v>46083</v>
      </c>
      <c r="C54" s="6">
        <v>46112</v>
      </c>
      <c r="D54" s="3" t="s">
        <v>409</v>
      </c>
      <c r="E54" s="154" t="s">
        <v>446</v>
      </c>
      <c r="F54" s="3" t="s">
        <v>551</v>
      </c>
      <c r="G54" s="153">
        <v>41000</v>
      </c>
      <c r="H54" s="3" t="s">
        <v>34</v>
      </c>
      <c r="I54" s="3" t="s">
        <v>402</v>
      </c>
      <c r="J54" s="154" t="s">
        <v>526</v>
      </c>
      <c r="K54" s="154" t="s">
        <v>446</v>
      </c>
      <c r="L54" s="3" t="s">
        <v>141</v>
      </c>
      <c r="M54" s="7">
        <v>675</v>
      </c>
      <c r="N54" s="7">
        <v>271785.69</v>
      </c>
      <c r="O54" s="3" t="s">
        <v>492</v>
      </c>
      <c r="P54" t="s">
        <v>492</v>
      </c>
      <c r="Q54" t="s">
        <v>208</v>
      </c>
    </row>
    <row r="55" spans="1:17" x14ac:dyDescent="0.3">
      <c r="A55" s="2"/>
      <c r="B55" s="6">
        <v>46083</v>
      </c>
      <c r="C55" s="6">
        <v>46112</v>
      </c>
      <c r="D55" s="3" t="s">
        <v>409</v>
      </c>
      <c r="E55" s="154" t="s">
        <v>446</v>
      </c>
      <c r="F55" s="3" t="s">
        <v>551</v>
      </c>
      <c r="G55" s="153">
        <v>41000</v>
      </c>
      <c r="H55" s="3" t="s">
        <v>34</v>
      </c>
      <c r="I55" s="3" t="s">
        <v>402</v>
      </c>
      <c r="J55" s="154" t="s">
        <v>464</v>
      </c>
      <c r="K55" s="154" t="s">
        <v>446</v>
      </c>
      <c r="L55" s="3" t="s">
        <v>141</v>
      </c>
      <c r="M55" s="7">
        <v>200</v>
      </c>
      <c r="N55" s="7">
        <v>271985.69</v>
      </c>
      <c r="O55" s="3" t="s">
        <v>492</v>
      </c>
      <c r="P55" t="s">
        <v>492</v>
      </c>
      <c r="Q55" t="s">
        <v>208</v>
      </c>
    </row>
    <row r="56" spans="1:17" x14ac:dyDescent="0.3">
      <c r="A56" s="2"/>
      <c r="B56" s="6">
        <v>46083</v>
      </c>
      <c r="C56" s="6">
        <v>46112</v>
      </c>
      <c r="D56" s="3" t="s">
        <v>409</v>
      </c>
      <c r="E56" s="154" t="s">
        <v>446</v>
      </c>
      <c r="F56" s="3" t="s">
        <v>551</v>
      </c>
      <c r="G56" s="153">
        <v>41000</v>
      </c>
      <c r="H56" s="3" t="s">
        <v>34</v>
      </c>
      <c r="I56" s="3" t="s">
        <v>402</v>
      </c>
      <c r="J56" s="154" t="s">
        <v>527</v>
      </c>
      <c r="K56" s="154" t="s">
        <v>446</v>
      </c>
      <c r="L56" s="3" t="s">
        <v>141</v>
      </c>
      <c r="M56" s="7">
        <v>300</v>
      </c>
      <c r="N56" s="7">
        <v>272285.69</v>
      </c>
      <c r="O56" s="3" t="s">
        <v>492</v>
      </c>
      <c r="P56" t="s">
        <v>492</v>
      </c>
      <c r="Q56" t="s">
        <v>208</v>
      </c>
    </row>
    <row r="57" spans="1:17" x14ac:dyDescent="0.3">
      <c r="A57" s="2"/>
      <c r="B57" s="6">
        <v>46083</v>
      </c>
      <c r="C57" s="6">
        <v>46112</v>
      </c>
      <c r="D57" s="3" t="s">
        <v>409</v>
      </c>
      <c r="E57" s="154" t="s">
        <v>446</v>
      </c>
      <c r="F57" s="3" t="s">
        <v>551</v>
      </c>
      <c r="G57" s="153">
        <v>41000</v>
      </c>
      <c r="H57" s="3" t="s">
        <v>34</v>
      </c>
      <c r="I57" s="3" t="s">
        <v>402</v>
      </c>
      <c r="J57" s="154" t="s">
        <v>464</v>
      </c>
      <c r="K57" s="154" t="s">
        <v>446</v>
      </c>
      <c r="L57" s="3" t="s">
        <v>141</v>
      </c>
      <c r="M57" s="7">
        <v>-976.87</v>
      </c>
      <c r="N57" s="7">
        <v>271308.82</v>
      </c>
      <c r="O57" s="3" t="s">
        <v>492</v>
      </c>
      <c r="P57" t="s">
        <v>492</v>
      </c>
      <c r="Q57" t="s">
        <v>208</v>
      </c>
    </row>
    <row r="58" spans="1:17" x14ac:dyDescent="0.3">
      <c r="A58" s="2"/>
      <c r="B58" s="6">
        <v>46083</v>
      </c>
      <c r="C58" s="6">
        <v>46112</v>
      </c>
      <c r="D58" s="3" t="s">
        <v>409</v>
      </c>
      <c r="E58" s="154" t="s">
        <v>446</v>
      </c>
      <c r="F58" s="3" t="s">
        <v>560</v>
      </c>
      <c r="G58" s="153">
        <v>42000</v>
      </c>
      <c r="H58" s="3" t="s">
        <v>34</v>
      </c>
      <c r="I58" s="3" t="s">
        <v>402</v>
      </c>
      <c r="J58" s="154" t="s">
        <v>568</v>
      </c>
      <c r="K58" s="154" t="s">
        <v>446</v>
      </c>
      <c r="L58" s="3" t="s">
        <v>141</v>
      </c>
      <c r="M58" s="7">
        <v>300</v>
      </c>
      <c r="N58" s="7">
        <v>45032.29</v>
      </c>
      <c r="O58" s="3" t="s">
        <v>491</v>
      </c>
      <c r="P58" t="s">
        <v>491</v>
      </c>
      <c r="Q58" t="s">
        <v>208</v>
      </c>
    </row>
    <row r="59" spans="1:17" x14ac:dyDescent="0.3">
      <c r="A59" s="2"/>
      <c r="B59" s="6">
        <v>46083</v>
      </c>
      <c r="C59" s="6">
        <v>46112</v>
      </c>
      <c r="D59" s="3" t="s">
        <v>409</v>
      </c>
      <c r="E59" s="154" t="s">
        <v>446</v>
      </c>
      <c r="F59" s="3" t="s">
        <v>560</v>
      </c>
      <c r="G59" s="153">
        <v>42000</v>
      </c>
      <c r="H59" s="3" t="s">
        <v>34</v>
      </c>
      <c r="I59" s="3" t="s">
        <v>402</v>
      </c>
      <c r="J59" s="154" t="s">
        <v>558</v>
      </c>
      <c r="K59" s="154" t="s">
        <v>446</v>
      </c>
      <c r="L59" s="3" t="s">
        <v>141</v>
      </c>
      <c r="M59" s="7">
        <v>500</v>
      </c>
      <c r="N59" s="7">
        <v>45532.29</v>
      </c>
      <c r="O59" s="3" t="s">
        <v>491</v>
      </c>
      <c r="P59" t="s">
        <v>491</v>
      </c>
      <c r="Q59" t="s">
        <v>208</v>
      </c>
    </row>
    <row r="60" spans="1:17" x14ac:dyDescent="0.3">
      <c r="A60" s="2"/>
      <c r="B60" s="6">
        <v>46083</v>
      </c>
      <c r="C60" s="6">
        <v>46112</v>
      </c>
      <c r="D60" s="3" t="s">
        <v>409</v>
      </c>
      <c r="E60" s="154" t="s">
        <v>446</v>
      </c>
      <c r="F60" s="3" t="s">
        <v>560</v>
      </c>
      <c r="G60" s="153">
        <v>42000</v>
      </c>
      <c r="H60" s="3" t="s">
        <v>34</v>
      </c>
      <c r="I60" s="3" t="s">
        <v>402</v>
      </c>
      <c r="J60" s="154" t="s">
        <v>559</v>
      </c>
      <c r="K60" s="154" t="s">
        <v>446</v>
      </c>
      <c r="L60" s="3" t="s">
        <v>141</v>
      </c>
      <c r="M60" s="7">
        <v>300</v>
      </c>
      <c r="N60" s="7">
        <v>45832.29</v>
      </c>
      <c r="O60" s="3" t="s">
        <v>491</v>
      </c>
      <c r="P60" t="s">
        <v>491</v>
      </c>
      <c r="Q60" t="s">
        <v>208</v>
      </c>
    </row>
    <row r="61" spans="1:17" x14ac:dyDescent="0.3">
      <c r="A61" s="2"/>
      <c r="B61" s="6">
        <v>46083</v>
      </c>
      <c r="C61" s="6">
        <v>46112</v>
      </c>
      <c r="D61" s="3" t="s">
        <v>409</v>
      </c>
      <c r="E61" s="154" t="s">
        <v>446</v>
      </c>
      <c r="F61" s="3" t="s">
        <v>560</v>
      </c>
      <c r="G61" s="153">
        <v>42000</v>
      </c>
      <c r="H61" s="3" t="s">
        <v>34</v>
      </c>
      <c r="I61" s="3" t="s">
        <v>402</v>
      </c>
      <c r="J61" s="154" t="s">
        <v>568</v>
      </c>
      <c r="K61" s="154" t="s">
        <v>446</v>
      </c>
      <c r="L61" s="3" t="s">
        <v>141</v>
      </c>
      <c r="M61" s="7">
        <v>1640</v>
      </c>
      <c r="N61" s="7">
        <v>47472.29</v>
      </c>
      <c r="O61" s="3" t="s">
        <v>491</v>
      </c>
      <c r="P61" t="s">
        <v>491</v>
      </c>
      <c r="Q61" t="s">
        <v>208</v>
      </c>
    </row>
    <row r="62" spans="1:17" x14ac:dyDescent="0.3">
      <c r="A62" s="2"/>
      <c r="B62" s="6">
        <v>46083</v>
      </c>
      <c r="C62" s="6">
        <v>46112</v>
      </c>
      <c r="D62" s="3" t="s">
        <v>409</v>
      </c>
      <c r="E62" s="154" t="s">
        <v>446</v>
      </c>
      <c r="F62" s="3" t="s">
        <v>560</v>
      </c>
      <c r="G62" s="153">
        <v>42000</v>
      </c>
      <c r="H62" s="3" t="s">
        <v>34</v>
      </c>
      <c r="I62" s="3" t="s">
        <v>402</v>
      </c>
      <c r="J62" s="154" t="s">
        <v>558</v>
      </c>
      <c r="K62" s="154" t="s">
        <v>446</v>
      </c>
      <c r="L62" s="3" t="s">
        <v>141</v>
      </c>
      <c r="M62" s="7">
        <v>2214</v>
      </c>
      <c r="N62" s="7">
        <v>49686.29</v>
      </c>
      <c r="O62" s="3" t="s">
        <v>491</v>
      </c>
      <c r="P62" t="s">
        <v>491</v>
      </c>
      <c r="Q62" t="s">
        <v>208</v>
      </c>
    </row>
    <row r="63" spans="1:17" x14ac:dyDescent="0.3">
      <c r="A63" s="2"/>
      <c r="B63" s="6">
        <v>46083</v>
      </c>
      <c r="C63" s="6">
        <v>46112</v>
      </c>
      <c r="D63" s="3" t="s">
        <v>409</v>
      </c>
      <c r="E63" s="154" t="s">
        <v>446</v>
      </c>
      <c r="F63" s="3" t="s">
        <v>560</v>
      </c>
      <c r="G63" s="153">
        <v>42000</v>
      </c>
      <c r="H63" s="3" t="s">
        <v>34</v>
      </c>
      <c r="I63" s="3" t="s">
        <v>402</v>
      </c>
      <c r="J63" s="154" t="s">
        <v>559</v>
      </c>
      <c r="K63" s="154" t="s">
        <v>446</v>
      </c>
      <c r="L63" s="3" t="s">
        <v>141</v>
      </c>
      <c r="M63" s="7">
        <v>3500</v>
      </c>
      <c r="N63" s="7">
        <v>53186.29</v>
      </c>
      <c r="O63" s="3" t="s">
        <v>491</v>
      </c>
      <c r="P63" t="s">
        <v>491</v>
      </c>
      <c r="Q63" t="s">
        <v>208</v>
      </c>
    </row>
    <row r="64" spans="1:17" x14ac:dyDescent="0.3">
      <c r="A64" s="2"/>
      <c r="B64" s="6">
        <v>46083</v>
      </c>
      <c r="C64" s="6">
        <v>46112</v>
      </c>
      <c r="D64" s="3" t="s">
        <v>409</v>
      </c>
      <c r="E64" s="154" t="s">
        <v>446</v>
      </c>
      <c r="F64" s="3" t="s">
        <v>560</v>
      </c>
      <c r="G64" s="153">
        <v>42000</v>
      </c>
      <c r="H64" s="3" t="s">
        <v>34</v>
      </c>
      <c r="I64" s="3" t="s">
        <v>402</v>
      </c>
      <c r="J64" s="154" t="s">
        <v>568</v>
      </c>
      <c r="K64" s="154" t="s">
        <v>446</v>
      </c>
      <c r="L64" s="3" t="s">
        <v>141</v>
      </c>
      <c r="M64" s="7">
        <v>20</v>
      </c>
      <c r="N64" s="7">
        <v>53206.29</v>
      </c>
      <c r="O64" s="3" t="s">
        <v>491</v>
      </c>
      <c r="P64" t="s">
        <v>491</v>
      </c>
      <c r="Q64" t="s">
        <v>208</v>
      </c>
    </row>
    <row r="65" spans="1:17" x14ac:dyDescent="0.3">
      <c r="A65" s="2"/>
      <c r="B65" s="6">
        <v>46083</v>
      </c>
      <c r="C65" s="6">
        <v>46112</v>
      </c>
      <c r="D65" s="3" t="s">
        <v>409</v>
      </c>
      <c r="E65" s="154" t="s">
        <v>446</v>
      </c>
      <c r="F65" s="3" t="s">
        <v>560</v>
      </c>
      <c r="G65" s="153">
        <v>42000</v>
      </c>
      <c r="H65" s="3" t="s">
        <v>34</v>
      </c>
      <c r="I65" s="3" t="s">
        <v>402</v>
      </c>
      <c r="J65" s="154" t="s">
        <v>558</v>
      </c>
      <c r="K65" s="154" t="s">
        <v>446</v>
      </c>
      <c r="L65" s="3" t="s">
        <v>141</v>
      </c>
      <c r="M65" s="7">
        <v>1000</v>
      </c>
      <c r="N65" s="7">
        <v>54206.29</v>
      </c>
      <c r="O65" s="3" t="s">
        <v>491</v>
      </c>
      <c r="P65" t="s">
        <v>491</v>
      </c>
      <c r="Q65" t="s">
        <v>208</v>
      </c>
    </row>
    <row r="66" spans="1:17" x14ac:dyDescent="0.3">
      <c r="A66" s="2"/>
      <c r="B66" s="6">
        <v>46083</v>
      </c>
      <c r="C66" s="6">
        <v>46112</v>
      </c>
      <c r="D66" s="3" t="s">
        <v>409</v>
      </c>
      <c r="E66" s="154" t="s">
        <v>446</v>
      </c>
      <c r="F66" s="3" t="s">
        <v>560</v>
      </c>
      <c r="G66" s="153">
        <v>42000</v>
      </c>
      <c r="H66" s="3" t="s">
        <v>34</v>
      </c>
      <c r="I66" s="3" t="s">
        <v>402</v>
      </c>
      <c r="J66" s="154" t="s">
        <v>559</v>
      </c>
      <c r="K66" s="154" t="s">
        <v>446</v>
      </c>
      <c r="L66" s="3" t="s">
        <v>141</v>
      </c>
      <c r="M66" s="7">
        <v>300</v>
      </c>
      <c r="N66" s="7">
        <v>54506.29</v>
      </c>
      <c r="O66" s="3" t="s">
        <v>491</v>
      </c>
      <c r="P66" t="s">
        <v>491</v>
      </c>
      <c r="Q66" t="s">
        <v>208</v>
      </c>
    </row>
    <row r="67" spans="1:17" x14ac:dyDescent="0.3">
      <c r="A67" s="2"/>
      <c r="B67" s="6">
        <v>46083</v>
      </c>
      <c r="C67" s="6">
        <v>46112</v>
      </c>
      <c r="D67" s="3" t="s">
        <v>409</v>
      </c>
      <c r="E67" s="154" t="s">
        <v>446</v>
      </c>
      <c r="F67" s="3" t="s">
        <v>560</v>
      </c>
      <c r="G67" s="153">
        <v>42000</v>
      </c>
      <c r="H67" s="3" t="s">
        <v>34</v>
      </c>
      <c r="I67" s="3" t="s">
        <v>402</v>
      </c>
      <c r="J67" s="154" t="s">
        <v>568</v>
      </c>
      <c r="K67" s="154" t="s">
        <v>446</v>
      </c>
      <c r="L67" s="3" t="s">
        <v>141</v>
      </c>
      <c r="M67" s="7">
        <v>2833</v>
      </c>
      <c r="N67" s="7">
        <v>57339.29</v>
      </c>
      <c r="O67" s="3" t="s">
        <v>491</v>
      </c>
      <c r="P67" t="s">
        <v>491</v>
      </c>
      <c r="Q67" t="s">
        <v>208</v>
      </c>
    </row>
    <row r="68" spans="1:17" x14ac:dyDescent="0.3">
      <c r="A68" s="2"/>
      <c r="B68" s="6">
        <v>46083</v>
      </c>
      <c r="C68" s="6">
        <v>46112</v>
      </c>
      <c r="D68" s="3" t="s">
        <v>409</v>
      </c>
      <c r="E68" s="154" t="s">
        <v>446</v>
      </c>
      <c r="F68" s="3" t="s">
        <v>560</v>
      </c>
      <c r="G68" s="153">
        <v>42000</v>
      </c>
      <c r="H68" s="3" t="s">
        <v>34</v>
      </c>
      <c r="I68" s="3" t="s">
        <v>402</v>
      </c>
      <c r="J68" s="154" t="s">
        <v>558</v>
      </c>
      <c r="K68" s="154" t="s">
        <v>446</v>
      </c>
      <c r="L68" s="3" t="s">
        <v>141</v>
      </c>
      <c r="M68" s="7">
        <v>2833</v>
      </c>
      <c r="N68" s="7">
        <v>60172.29</v>
      </c>
      <c r="O68" s="3" t="s">
        <v>491</v>
      </c>
      <c r="P68" t="s">
        <v>491</v>
      </c>
      <c r="Q68" t="s">
        <v>208</v>
      </c>
    </row>
    <row r="69" spans="1:17" x14ac:dyDescent="0.3">
      <c r="A69" s="2"/>
      <c r="B69" s="6">
        <v>46083</v>
      </c>
      <c r="C69" s="6">
        <v>46112</v>
      </c>
      <c r="D69" s="3" t="s">
        <v>409</v>
      </c>
      <c r="E69" s="154" t="s">
        <v>446</v>
      </c>
      <c r="F69" s="3" t="s">
        <v>560</v>
      </c>
      <c r="G69" s="153">
        <v>42000</v>
      </c>
      <c r="H69" s="3" t="s">
        <v>34</v>
      </c>
      <c r="I69" s="3" t="s">
        <v>402</v>
      </c>
      <c r="J69" s="154" t="s">
        <v>559</v>
      </c>
      <c r="K69" s="154" t="s">
        <v>446</v>
      </c>
      <c r="L69" s="3" t="s">
        <v>141</v>
      </c>
      <c r="M69" s="7">
        <v>50</v>
      </c>
      <c r="N69" s="7">
        <v>60222.29</v>
      </c>
      <c r="O69" s="3" t="s">
        <v>491</v>
      </c>
      <c r="P69" t="s">
        <v>491</v>
      </c>
      <c r="Q69" t="s">
        <v>208</v>
      </c>
    </row>
    <row r="70" spans="1:17" x14ac:dyDescent="0.3">
      <c r="A70" s="2"/>
      <c r="B70" s="6">
        <v>46083</v>
      </c>
      <c r="C70" s="6">
        <v>46112</v>
      </c>
      <c r="D70" s="3" t="s">
        <v>409</v>
      </c>
      <c r="E70" s="154" t="s">
        <v>446</v>
      </c>
      <c r="F70" s="3" t="s">
        <v>560</v>
      </c>
      <c r="G70" s="153">
        <v>42000</v>
      </c>
      <c r="H70" s="3" t="s">
        <v>34</v>
      </c>
      <c r="I70" s="3" t="s">
        <v>402</v>
      </c>
      <c r="J70" s="154" t="s">
        <v>568</v>
      </c>
      <c r="K70" s="154" t="s">
        <v>446</v>
      </c>
      <c r="L70" s="3" t="s">
        <v>141</v>
      </c>
      <c r="M70" s="7">
        <v>913.95</v>
      </c>
      <c r="N70" s="7">
        <v>61136.24</v>
      </c>
      <c r="O70" s="3" t="s">
        <v>491</v>
      </c>
      <c r="P70" t="s">
        <v>491</v>
      </c>
      <c r="Q70" t="s">
        <v>208</v>
      </c>
    </row>
    <row r="71" spans="1:17" x14ac:dyDescent="0.3">
      <c r="A71" s="2"/>
      <c r="B71" s="6">
        <v>46083</v>
      </c>
      <c r="C71" s="6">
        <v>46112</v>
      </c>
      <c r="D71" s="3" t="s">
        <v>409</v>
      </c>
      <c r="E71" s="154" t="s">
        <v>446</v>
      </c>
      <c r="F71" s="3" t="s">
        <v>560</v>
      </c>
      <c r="G71" s="153">
        <v>42000</v>
      </c>
      <c r="H71" s="3" t="s">
        <v>34</v>
      </c>
      <c r="I71" s="3" t="s">
        <v>402</v>
      </c>
      <c r="J71" s="154" t="s">
        <v>558</v>
      </c>
      <c r="K71" s="154" t="s">
        <v>446</v>
      </c>
      <c r="L71" s="3" t="s">
        <v>141</v>
      </c>
      <c r="M71" s="7">
        <v>2833</v>
      </c>
      <c r="N71" s="7">
        <v>63969.24</v>
      </c>
      <c r="O71" s="3" t="s">
        <v>491</v>
      </c>
      <c r="P71" t="s">
        <v>491</v>
      </c>
      <c r="Q71" t="s">
        <v>208</v>
      </c>
    </row>
    <row r="72" spans="1:17" x14ac:dyDescent="0.3">
      <c r="A72" s="2"/>
      <c r="B72" s="6">
        <v>46083</v>
      </c>
      <c r="C72" s="6">
        <v>46112</v>
      </c>
      <c r="D72" s="3" t="s">
        <v>409</v>
      </c>
      <c r="E72" s="154" t="s">
        <v>446</v>
      </c>
      <c r="F72" s="3" t="s">
        <v>560</v>
      </c>
      <c r="G72" s="153">
        <v>42000</v>
      </c>
      <c r="H72" s="3" t="s">
        <v>34</v>
      </c>
      <c r="I72" s="3" t="s">
        <v>402</v>
      </c>
      <c r="J72" s="154" t="s">
        <v>559</v>
      </c>
      <c r="K72" s="154" t="s">
        <v>446</v>
      </c>
      <c r="L72" s="3" t="s">
        <v>141</v>
      </c>
      <c r="M72" s="7">
        <v>3500</v>
      </c>
      <c r="N72" s="7">
        <v>67469.240000000005</v>
      </c>
      <c r="O72" s="3" t="s">
        <v>491</v>
      </c>
      <c r="P72" t="s">
        <v>491</v>
      </c>
      <c r="Q72" t="s">
        <v>208</v>
      </c>
    </row>
    <row r="73" spans="1:17" x14ac:dyDescent="0.3">
      <c r="A73" s="2"/>
      <c r="B73" s="6">
        <v>46083</v>
      </c>
      <c r="C73" s="6">
        <v>46112</v>
      </c>
      <c r="D73" s="3" t="s">
        <v>409</v>
      </c>
      <c r="E73" s="154" t="s">
        <v>446</v>
      </c>
      <c r="F73" s="3" t="s">
        <v>560</v>
      </c>
      <c r="G73" s="153">
        <v>42000</v>
      </c>
      <c r="H73" s="3" t="s">
        <v>34</v>
      </c>
      <c r="I73" s="3" t="s">
        <v>402</v>
      </c>
      <c r="J73" s="154" t="s">
        <v>568</v>
      </c>
      <c r="K73" s="154" t="s">
        <v>446</v>
      </c>
      <c r="L73" s="3" t="s">
        <v>141</v>
      </c>
      <c r="M73" s="7">
        <v>2833</v>
      </c>
      <c r="N73" s="7">
        <v>70302.240000000005</v>
      </c>
      <c r="O73" s="3" t="s">
        <v>491</v>
      </c>
      <c r="P73" t="s">
        <v>491</v>
      </c>
      <c r="Q73" t="s">
        <v>208</v>
      </c>
    </row>
    <row r="74" spans="1:17" x14ac:dyDescent="0.3">
      <c r="A74" s="2"/>
      <c r="B74" s="6">
        <v>46083</v>
      </c>
      <c r="C74" s="6">
        <v>46112</v>
      </c>
      <c r="D74" s="3" t="s">
        <v>409</v>
      </c>
      <c r="E74" s="154" t="s">
        <v>446</v>
      </c>
      <c r="F74" s="3" t="s">
        <v>560</v>
      </c>
      <c r="G74" s="153">
        <v>42000</v>
      </c>
      <c r="H74" s="3" t="s">
        <v>34</v>
      </c>
      <c r="I74" s="3" t="s">
        <v>402</v>
      </c>
      <c r="J74" s="154" t="s">
        <v>558</v>
      </c>
      <c r="K74" s="154" t="s">
        <v>446</v>
      </c>
      <c r="L74" s="3" t="s">
        <v>141</v>
      </c>
      <c r="M74" s="7">
        <v>4880</v>
      </c>
      <c r="N74" s="7">
        <v>75182.240000000005</v>
      </c>
      <c r="O74" s="3" t="s">
        <v>491</v>
      </c>
      <c r="P74" t="s">
        <v>491</v>
      </c>
      <c r="Q74" t="s">
        <v>208</v>
      </c>
    </row>
    <row r="75" spans="1:17" x14ac:dyDescent="0.3">
      <c r="A75" s="2"/>
      <c r="B75" s="6">
        <v>46083</v>
      </c>
      <c r="C75" s="6">
        <v>46112</v>
      </c>
      <c r="D75" s="3" t="s">
        <v>409</v>
      </c>
      <c r="E75" s="154" t="s">
        <v>446</v>
      </c>
      <c r="F75" s="3" t="s">
        <v>560</v>
      </c>
      <c r="G75" s="153">
        <v>42000</v>
      </c>
      <c r="H75" s="3" t="s">
        <v>34</v>
      </c>
      <c r="I75" s="3" t="s">
        <v>402</v>
      </c>
      <c r="J75" s="154" t="s">
        <v>559</v>
      </c>
      <c r="K75" s="154" t="s">
        <v>446</v>
      </c>
      <c r="L75" s="3" t="s">
        <v>141</v>
      </c>
      <c r="M75" s="7">
        <v>6391</v>
      </c>
      <c r="N75" s="7">
        <v>81573.240000000005</v>
      </c>
      <c r="O75" s="3" t="s">
        <v>491</v>
      </c>
      <c r="P75" t="s">
        <v>491</v>
      </c>
      <c r="Q75" t="s">
        <v>208</v>
      </c>
    </row>
    <row r="76" spans="1:17" x14ac:dyDescent="0.3">
      <c r="A76" s="2"/>
      <c r="B76" s="6">
        <v>46083</v>
      </c>
      <c r="C76" s="6">
        <v>46112</v>
      </c>
      <c r="D76" s="3" t="s">
        <v>409</v>
      </c>
      <c r="E76" s="154" t="s">
        <v>446</v>
      </c>
      <c r="F76" s="3" t="s">
        <v>560</v>
      </c>
      <c r="G76" s="153">
        <v>42000</v>
      </c>
      <c r="H76" s="3" t="s">
        <v>34</v>
      </c>
      <c r="I76" s="3" t="s">
        <v>402</v>
      </c>
      <c r="J76" s="154" t="s">
        <v>568</v>
      </c>
      <c r="K76" s="154" t="s">
        <v>446</v>
      </c>
      <c r="L76" s="3" t="s">
        <v>141</v>
      </c>
      <c r="M76" s="7">
        <v>250</v>
      </c>
      <c r="N76" s="7">
        <v>81823.240000000005</v>
      </c>
      <c r="O76" s="3" t="s">
        <v>491</v>
      </c>
      <c r="P76" t="s">
        <v>491</v>
      </c>
      <c r="Q76" t="s">
        <v>208</v>
      </c>
    </row>
    <row r="77" spans="1:17" x14ac:dyDescent="0.3">
      <c r="A77" s="2"/>
      <c r="B77" s="6">
        <v>46083</v>
      </c>
      <c r="C77" s="6">
        <v>46112</v>
      </c>
      <c r="D77" s="3" t="s">
        <v>409</v>
      </c>
      <c r="E77" s="154" t="s">
        <v>446</v>
      </c>
      <c r="F77" s="3" t="s">
        <v>560</v>
      </c>
      <c r="G77" s="153">
        <v>42000</v>
      </c>
      <c r="H77" s="3" t="s">
        <v>34</v>
      </c>
      <c r="I77" s="3" t="s">
        <v>402</v>
      </c>
      <c r="J77" s="154" t="s">
        <v>558</v>
      </c>
      <c r="K77" s="154" t="s">
        <v>446</v>
      </c>
      <c r="L77" s="3" t="s">
        <v>141</v>
      </c>
      <c r="M77" s="7">
        <v>2833</v>
      </c>
      <c r="N77" s="7">
        <v>84656.24</v>
      </c>
      <c r="O77" s="3" t="s">
        <v>491</v>
      </c>
      <c r="P77" t="s">
        <v>491</v>
      </c>
      <c r="Q77" t="s">
        <v>208</v>
      </c>
    </row>
    <row r="78" spans="1:17" x14ac:dyDescent="0.3">
      <c r="A78" s="2"/>
      <c r="B78" s="6">
        <v>46083</v>
      </c>
      <c r="C78" s="6">
        <v>46112</v>
      </c>
      <c r="D78" s="3" t="s">
        <v>409</v>
      </c>
      <c r="E78" s="154" t="s">
        <v>446</v>
      </c>
      <c r="F78" s="3" t="s">
        <v>560</v>
      </c>
      <c r="G78" s="153">
        <v>42000</v>
      </c>
      <c r="H78" s="3" t="s">
        <v>34</v>
      </c>
      <c r="I78" s="3" t="s">
        <v>402</v>
      </c>
      <c r="J78" s="154" t="s">
        <v>559</v>
      </c>
      <c r="K78" s="154" t="s">
        <v>446</v>
      </c>
      <c r="L78" s="3" t="s">
        <v>141</v>
      </c>
      <c r="M78" s="7">
        <v>20</v>
      </c>
      <c r="N78" s="7">
        <v>84676.24</v>
      </c>
      <c r="O78" s="3" t="s">
        <v>491</v>
      </c>
      <c r="P78" t="s">
        <v>491</v>
      </c>
      <c r="Q78" t="s">
        <v>208</v>
      </c>
    </row>
    <row r="79" spans="1:17" x14ac:dyDescent="0.3">
      <c r="A79" s="2"/>
      <c r="B79" s="6">
        <v>46083</v>
      </c>
      <c r="C79" s="6">
        <v>46112</v>
      </c>
      <c r="D79" s="3" t="s">
        <v>409</v>
      </c>
      <c r="E79" s="154" t="s">
        <v>446</v>
      </c>
      <c r="F79" s="3" t="s">
        <v>560</v>
      </c>
      <c r="G79" s="153">
        <v>42000</v>
      </c>
      <c r="H79" s="3" t="s">
        <v>34</v>
      </c>
      <c r="I79" s="3" t="s">
        <v>402</v>
      </c>
      <c r="J79" s="154" t="s">
        <v>568</v>
      </c>
      <c r="K79" s="154" t="s">
        <v>446</v>
      </c>
      <c r="L79" s="3" t="s">
        <v>141</v>
      </c>
      <c r="M79" s="7">
        <v>150</v>
      </c>
      <c r="N79" s="7">
        <v>84826.240000000005</v>
      </c>
      <c r="O79" s="3" t="s">
        <v>491</v>
      </c>
      <c r="P79" t="s">
        <v>491</v>
      </c>
      <c r="Q79" t="s">
        <v>208</v>
      </c>
    </row>
    <row r="80" spans="1:17" x14ac:dyDescent="0.3">
      <c r="A80" s="2"/>
      <c r="B80" s="6">
        <v>46083</v>
      </c>
      <c r="C80" s="6">
        <v>46112</v>
      </c>
      <c r="D80" s="3" t="s">
        <v>409</v>
      </c>
      <c r="E80" s="154" t="s">
        <v>446</v>
      </c>
      <c r="F80" s="3" t="s">
        <v>560</v>
      </c>
      <c r="G80" s="153">
        <v>42000</v>
      </c>
      <c r="H80" s="3" t="s">
        <v>34</v>
      </c>
      <c r="I80" s="3" t="s">
        <v>402</v>
      </c>
      <c r="J80" s="154" t="s">
        <v>558</v>
      </c>
      <c r="K80" s="154" t="s">
        <v>446</v>
      </c>
      <c r="L80" s="3" t="s">
        <v>141</v>
      </c>
      <c r="M80" s="7">
        <v>472.5</v>
      </c>
      <c r="N80" s="7">
        <v>85298.74</v>
      </c>
      <c r="O80" s="3" t="s">
        <v>491</v>
      </c>
      <c r="P80" t="s">
        <v>491</v>
      </c>
      <c r="Q80" t="s">
        <v>208</v>
      </c>
    </row>
    <row r="81" spans="1:17" x14ac:dyDescent="0.3">
      <c r="A81" s="2"/>
      <c r="B81" s="6">
        <v>46083</v>
      </c>
      <c r="C81" s="6">
        <v>46112</v>
      </c>
      <c r="D81" s="3" t="s">
        <v>251</v>
      </c>
      <c r="E81" s="154" t="s">
        <v>446</v>
      </c>
      <c r="F81" s="3" t="s">
        <v>543</v>
      </c>
      <c r="G81" s="153">
        <v>53200</v>
      </c>
      <c r="H81" s="3" t="s">
        <v>37</v>
      </c>
      <c r="I81" s="3" t="s">
        <v>401</v>
      </c>
      <c r="J81" s="154" t="s">
        <v>528</v>
      </c>
      <c r="K81" s="154" t="s">
        <v>446</v>
      </c>
      <c r="L81" s="3" t="s">
        <v>554</v>
      </c>
      <c r="M81" s="7">
        <v>1615.61</v>
      </c>
      <c r="N81" s="7">
        <v>14885.9</v>
      </c>
      <c r="O81" s="3" t="s">
        <v>492</v>
      </c>
      <c r="P81" t="s">
        <v>212</v>
      </c>
      <c r="Q81" t="s">
        <v>211</v>
      </c>
    </row>
    <row r="82" spans="1:17" x14ac:dyDescent="0.3">
      <c r="A82" s="2"/>
      <c r="B82" s="6">
        <v>46083</v>
      </c>
      <c r="C82" s="6">
        <v>46112</v>
      </c>
      <c r="D82" s="3" t="s">
        <v>251</v>
      </c>
      <c r="E82" s="154" t="s">
        <v>446</v>
      </c>
      <c r="F82" s="3" t="s">
        <v>543</v>
      </c>
      <c r="G82" s="153">
        <v>53200</v>
      </c>
      <c r="H82" s="3" t="s">
        <v>37</v>
      </c>
      <c r="I82" s="3" t="s">
        <v>401</v>
      </c>
      <c r="J82" s="154" t="s">
        <v>521</v>
      </c>
      <c r="K82" s="154" t="s">
        <v>446</v>
      </c>
      <c r="L82" s="3" t="s">
        <v>554</v>
      </c>
      <c r="M82" s="7">
        <v>1615.61</v>
      </c>
      <c r="N82" s="7">
        <v>16501.509999999998</v>
      </c>
      <c r="O82" s="3" t="s">
        <v>491</v>
      </c>
      <c r="P82" t="s">
        <v>212</v>
      </c>
      <c r="Q82" t="s">
        <v>211</v>
      </c>
    </row>
    <row r="83" spans="1:17" x14ac:dyDescent="0.3">
      <c r="A83" s="2"/>
      <c r="B83" s="6">
        <v>46083</v>
      </c>
      <c r="C83" s="6">
        <v>46112</v>
      </c>
      <c r="D83" s="3" t="s">
        <v>251</v>
      </c>
      <c r="E83" s="154" t="s">
        <v>446</v>
      </c>
      <c r="F83" s="3" t="s">
        <v>544</v>
      </c>
      <c r="G83" s="153">
        <v>61200</v>
      </c>
      <c r="H83" s="3" t="s">
        <v>251</v>
      </c>
      <c r="I83" s="3" t="s">
        <v>399</v>
      </c>
      <c r="J83" s="154" t="s">
        <v>531</v>
      </c>
      <c r="K83" s="154" t="s">
        <v>446</v>
      </c>
      <c r="L83" s="3" t="s">
        <v>554</v>
      </c>
      <c r="M83" s="7">
        <v>3231.23</v>
      </c>
      <c r="N83" s="7">
        <v>10430.459999999999</v>
      </c>
      <c r="O83" s="3" t="s">
        <v>252</v>
      </c>
      <c r="P83" t="s">
        <v>218</v>
      </c>
      <c r="Q83" t="s">
        <v>216</v>
      </c>
    </row>
    <row r="84" spans="1:17" x14ac:dyDescent="0.3">
      <c r="A84" s="2"/>
      <c r="B84" s="6">
        <v>46083</v>
      </c>
      <c r="C84" s="6">
        <v>46112</v>
      </c>
      <c r="D84" s="3" t="s">
        <v>397</v>
      </c>
      <c r="E84" s="154" t="s">
        <v>446</v>
      </c>
      <c r="F84" s="3" t="s">
        <v>70</v>
      </c>
      <c r="G84" s="153">
        <v>63400</v>
      </c>
      <c r="H84" s="3" t="s">
        <v>251</v>
      </c>
      <c r="I84" s="3" t="s">
        <v>406</v>
      </c>
      <c r="J84" s="154" t="s">
        <v>540</v>
      </c>
      <c r="K84" s="154" t="s">
        <v>446</v>
      </c>
      <c r="L84" s="3" t="s">
        <v>163</v>
      </c>
      <c r="M84" s="7">
        <v>1000</v>
      </c>
      <c r="N84" s="7">
        <v>5677.5</v>
      </c>
      <c r="O84" s="3" t="s">
        <v>252</v>
      </c>
      <c r="P84" t="s">
        <v>219</v>
      </c>
      <c r="Q84" t="s">
        <v>216</v>
      </c>
    </row>
    <row r="85" spans="1:17" x14ac:dyDescent="0.3">
      <c r="A85" s="2"/>
      <c r="B85" s="6">
        <v>46083</v>
      </c>
      <c r="C85" s="6">
        <v>46112</v>
      </c>
      <c r="D85" s="3" t="s">
        <v>397</v>
      </c>
      <c r="E85" s="154" t="s">
        <v>446</v>
      </c>
      <c r="F85" s="3" t="s">
        <v>70</v>
      </c>
      <c r="G85" s="153">
        <v>63400</v>
      </c>
      <c r="H85" s="3" t="s">
        <v>251</v>
      </c>
      <c r="I85" s="3" t="s">
        <v>406</v>
      </c>
      <c r="J85" s="154" t="s">
        <v>540</v>
      </c>
      <c r="K85" s="154" t="s">
        <v>446</v>
      </c>
      <c r="L85" s="3" t="s">
        <v>163</v>
      </c>
      <c r="M85" s="7">
        <v>1093.75</v>
      </c>
      <c r="N85" s="7">
        <v>6771.25</v>
      </c>
      <c r="O85" s="3" t="s">
        <v>252</v>
      </c>
      <c r="P85" t="s">
        <v>219</v>
      </c>
      <c r="Q85" t="s">
        <v>216</v>
      </c>
    </row>
    <row r="86" spans="1:17" x14ac:dyDescent="0.3">
      <c r="A86" s="2"/>
      <c r="B86" s="6">
        <v>46083</v>
      </c>
      <c r="C86" s="6">
        <v>46112</v>
      </c>
      <c r="D86" s="3" t="s">
        <v>251</v>
      </c>
      <c r="E86" s="154" t="s">
        <v>446</v>
      </c>
      <c r="F86" s="3" t="s">
        <v>85</v>
      </c>
      <c r="G86" s="153">
        <v>65120</v>
      </c>
      <c r="H86" s="3" t="s">
        <v>251</v>
      </c>
      <c r="I86" s="3" t="s">
        <v>128</v>
      </c>
      <c r="J86" s="154" t="s">
        <v>522</v>
      </c>
      <c r="K86" s="154" t="s">
        <v>446</v>
      </c>
      <c r="L86" s="3" t="s">
        <v>545</v>
      </c>
      <c r="M86" s="7">
        <v>151.96</v>
      </c>
      <c r="N86" s="7">
        <v>1987.2</v>
      </c>
      <c r="O86" s="3" t="s">
        <v>491</v>
      </c>
      <c r="P86" t="s">
        <v>221</v>
      </c>
      <c r="Q86" t="s">
        <v>216</v>
      </c>
    </row>
    <row r="87" spans="1:17" x14ac:dyDescent="0.3">
      <c r="A87" s="2"/>
      <c r="B87" s="6">
        <v>46083</v>
      </c>
      <c r="C87" s="6">
        <v>46112</v>
      </c>
      <c r="D87" s="3" t="s">
        <v>251</v>
      </c>
      <c r="E87" s="154" t="s">
        <v>446</v>
      </c>
      <c r="F87" s="3" t="s">
        <v>85</v>
      </c>
      <c r="G87" s="153">
        <v>65120</v>
      </c>
      <c r="H87" s="3" t="s">
        <v>251</v>
      </c>
      <c r="I87" s="3" t="s">
        <v>128</v>
      </c>
      <c r="J87" s="154" t="s">
        <v>522</v>
      </c>
      <c r="K87" s="154" t="s">
        <v>446</v>
      </c>
      <c r="L87" s="3" t="s">
        <v>547</v>
      </c>
      <c r="M87" s="7">
        <v>221.08</v>
      </c>
      <c r="N87" s="7">
        <v>2208.2800000000002</v>
      </c>
      <c r="O87" s="3" t="s">
        <v>491</v>
      </c>
      <c r="P87" t="s">
        <v>221</v>
      </c>
      <c r="Q87" t="s">
        <v>216</v>
      </c>
    </row>
    <row r="88" spans="1:17" x14ac:dyDescent="0.3">
      <c r="A88" s="2"/>
      <c r="B88" s="6">
        <v>46083</v>
      </c>
      <c r="C88" s="6">
        <v>46112</v>
      </c>
      <c r="D88" s="3" t="s">
        <v>251</v>
      </c>
      <c r="E88" s="154" t="s">
        <v>446</v>
      </c>
      <c r="F88" s="3" t="s">
        <v>86</v>
      </c>
      <c r="G88" s="153">
        <v>65130</v>
      </c>
      <c r="H88" s="3" t="s">
        <v>251</v>
      </c>
      <c r="I88" s="3" t="s">
        <v>128</v>
      </c>
      <c r="J88" s="154" t="s">
        <v>535</v>
      </c>
      <c r="K88" s="154" t="s">
        <v>446</v>
      </c>
      <c r="L88" s="3" t="s">
        <v>545</v>
      </c>
      <c r="M88" s="7">
        <v>22.12</v>
      </c>
      <c r="N88" s="7">
        <v>491.27</v>
      </c>
      <c r="O88" s="3" t="s">
        <v>252</v>
      </c>
      <c r="P88" t="s">
        <v>221</v>
      </c>
      <c r="Q88" t="s">
        <v>216</v>
      </c>
    </row>
    <row r="89" spans="1:17" x14ac:dyDescent="0.3">
      <c r="A89" s="2"/>
      <c r="B89" s="6">
        <v>46083</v>
      </c>
      <c r="C89" s="6">
        <v>46112</v>
      </c>
      <c r="D89" s="3" t="s">
        <v>251</v>
      </c>
      <c r="E89" s="154" t="s">
        <v>446</v>
      </c>
      <c r="F89" s="3" t="s">
        <v>87</v>
      </c>
      <c r="G89" s="153">
        <v>65140</v>
      </c>
      <c r="H89" s="3" t="s">
        <v>251</v>
      </c>
      <c r="I89" s="3" t="s">
        <v>405</v>
      </c>
      <c r="J89" s="154" t="s">
        <v>522</v>
      </c>
      <c r="K89" s="154" t="s">
        <v>446</v>
      </c>
      <c r="L89" s="3" t="s">
        <v>545</v>
      </c>
      <c r="M89" s="7">
        <v>13.39</v>
      </c>
      <c r="N89" s="7">
        <v>249.18</v>
      </c>
      <c r="O89" s="3" t="s">
        <v>491</v>
      </c>
      <c r="P89" t="s">
        <v>221</v>
      </c>
      <c r="Q89" t="s">
        <v>216</v>
      </c>
    </row>
    <row r="90" spans="1:17" x14ac:dyDescent="0.3">
      <c r="A90" s="2"/>
      <c r="B90" s="6">
        <v>46083</v>
      </c>
      <c r="C90" s="6">
        <v>46112</v>
      </c>
      <c r="D90" s="3" t="s">
        <v>251</v>
      </c>
      <c r="E90" s="154" t="s">
        <v>446</v>
      </c>
      <c r="F90" s="3" t="s">
        <v>93</v>
      </c>
      <c r="G90" s="153">
        <v>66130</v>
      </c>
      <c r="H90" s="3" t="s">
        <v>251</v>
      </c>
      <c r="I90" s="3" t="s">
        <v>128</v>
      </c>
      <c r="J90" s="154" t="s">
        <v>532</v>
      </c>
      <c r="K90" s="154" t="s">
        <v>446</v>
      </c>
      <c r="L90" s="3" t="s">
        <v>545</v>
      </c>
      <c r="M90" s="7">
        <v>436.37</v>
      </c>
      <c r="N90" s="7">
        <v>436.37</v>
      </c>
      <c r="O90" s="3" t="s">
        <v>252</v>
      </c>
      <c r="P90" t="s">
        <v>222</v>
      </c>
      <c r="Q90" t="s">
        <v>216</v>
      </c>
    </row>
    <row r="91" spans="1:17" x14ac:dyDescent="0.3">
      <c r="A91" s="2"/>
      <c r="B91" s="6">
        <v>46083</v>
      </c>
      <c r="C91" s="6">
        <v>46112</v>
      </c>
      <c r="D91" s="3" t="s">
        <v>397</v>
      </c>
      <c r="E91" s="154" t="s">
        <v>446</v>
      </c>
      <c r="F91" s="3" t="s">
        <v>114</v>
      </c>
      <c r="G91" s="153">
        <v>67240</v>
      </c>
      <c r="H91" s="3" t="s">
        <v>251</v>
      </c>
      <c r="I91" s="3" t="s">
        <v>223</v>
      </c>
      <c r="J91" s="154" t="s">
        <v>569</v>
      </c>
      <c r="K91" s="154" t="s">
        <v>446</v>
      </c>
      <c r="L91" s="3" t="s">
        <v>163</v>
      </c>
      <c r="M91" s="7">
        <v>755.75</v>
      </c>
      <c r="N91" s="7">
        <v>755.75</v>
      </c>
      <c r="O91" s="3" t="s">
        <v>252</v>
      </c>
      <c r="P91" t="s">
        <v>223</v>
      </c>
      <c r="Q91" t="s">
        <v>216</v>
      </c>
    </row>
    <row r="92" spans="1:17" x14ac:dyDescent="0.3">
      <c r="A92" s="2"/>
      <c r="B92" s="6">
        <v>46084</v>
      </c>
      <c r="C92" s="6">
        <v>46112</v>
      </c>
      <c r="D92" s="3" t="s">
        <v>251</v>
      </c>
      <c r="E92" s="154" t="s">
        <v>446</v>
      </c>
      <c r="F92" s="3" t="s">
        <v>92</v>
      </c>
      <c r="G92" s="153">
        <v>66120</v>
      </c>
      <c r="H92" s="3" t="s">
        <v>251</v>
      </c>
      <c r="I92" s="3" t="s">
        <v>128</v>
      </c>
      <c r="J92" s="154" t="s">
        <v>532</v>
      </c>
      <c r="K92" s="154" t="s">
        <v>446</v>
      </c>
      <c r="L92" s="3" t="s">
        <v>547</v>
      </c>
      <c r="M92" s="7">
        <v>587.16</v>
      </c>
      <c r="N92" s="7">
        <v>4018.16</v>
      </c>
      <c r="O92" s="3" t="s">
        <v>252</v>
      </c>
      <c r="P92" t="s">
        <v>222</v>
      </c>
      <c r="Q92" t="s">
        <v>216</v>
      </c>
    </row>
    <row r="93" spans="1:17" x14ac:dyDescent="0.3">
      <c r="A93" s="2"/>
      <c r="B93" s="6">
        <v>46084</v>
      </c>
      <c r="C93" s="6">
        <v>46112</v>
      </c>
      <c r="D93" s="3" t="s">
        <v>251</v>
      </c>
      <c r="E93" s="154" t="s">
        <v>446</v>
      </c>
      <c r="F93" s="3" t="s">
        <v>93</v>
      </c>
      <c r="G93" s="153">
        <v>66130</v>
      </c>
      <c r="H93" s="3" t="s">
        <v>251</v>
      </c>
      <c r="I93" s="3" t="s">
        <v>128</v>
      </c>
      <c r="J93" s="154" t="s">
        <v>532</v>
      </c>
      <c r="K93" s="154" t="s">
        <v>446</v>
      </c>
      <c r="L93" s="3" t="s">
        <v>547</v>
      </c>
      <c r="M93" s="7">
        <v>36.29</v>
      </c>
      <c r="N93" s="7">
        <v>472.66</v>
      </c>
      <c r="O93" s="3" t="s">
        <v>252</v>
      </c>
      <c r="P93" t="s">
        <v>222</v>
      </c>
      <c r="Q93" t="s">
        <v>216</v>
      </c>
    </row>
    <row r="94" spans="1:17" x14ac:dyDescent="0.3">
      <c r="A94" s="2"/>
      <c r="B94" s="6">
        <v>46084</v>
      </c>
      <c r="C94" s="6">
        <v>46112</v>
      </c>
      <c r="D94" s="3" t="s">
        <v>251</v>
      </c>
      <c r="E94" s="154" t="s">
        <v>446</v>
      </c>
      <c r="F94" s="3" t="s">
        <v>93</v>
      </c>
      <c r="G94" s="153">
        <v>66130</v>
      </c>
      <c r="H94" s="3" t="s">
        <v>251</v>
      </c>
      <c r="I94" s="3" t="s">
        <v>128</v>
      </c>
      <c r="J94" s="154" t="s">
        <v>532</v>
      </c>
      <c r="K94" s="154" t="s">
        <v>446</v>
      </c>
      <c r="L94" s="3" t="s">
        <v>545</v>
      </c>
      <c r="M94" s="7">
        <v>13.49</v>
      </c>
      <c r="N94" s="7">
        <v>486.15</v>
      </c>
      <c r="O94" s="3" t="s">
        <v>252</v>
      </c>
      <c r="P94" t="s">
        <v>222</v>
      </c>
      <c r="Q94" t="s">
        <v>216</v>
      </c>
    </row>
    <row r="95" spans="1:17" x14ac:dyDescent="0.3">
      <c r="A95" s="2"/>
      <c r="B95" s="6">
        <v>46084</v>
      </c>
      <c r="C95" s="6">
        <v>46112</v>
      </c>
      <c r="D95" s="3" t="s">
        <v>251</v>
      </c>
      <c r="E95" s="154" t="s">
        <v>446</v>
      </c>
      <c r="F95" s="3" t="s">
        <v>94</v>
      </c>
      <c r="G95" s="153">
        <v>66140</v>
      </c>
      <c r="H95" s="3" t="s">
        <v>251</v>
      </c>
      <c r="I95" s="3" t="s">
        <v>405</v>
      </c>
      <c r="J95" s="154" t="s">
        <v>533</v>
      </c>
      <c r="K95" s="154" t="s">
        <v>446</v>
      </c>
      <c r="L95" s="3" t="s">
        <v>545</v>
      </c>
      <c r="M95" s="7">
        <v>44.92</v>
      </c>
      <c r="N95" s="7">
        <v>354.67</v>
      </c>
      <c r="O95" s="3" t="s">
        <v>252</v>
      </c>
      <c r="P95" t="s">
        <v>222</v>
      </c>
      <c r="Q95" t="s">
        <v>216</v>
      </c>
    </row>
    <row r="96" spans="1:17" x14ac:dyDescent="0.3">
      <c r="A96" s="2"/>
      <c r="B96" s="6">
        <v>46085</v>
      </c>
      <c r="C96" s="6">
        <v>46112</v>
      </c>
      <c r="D96" s="3" t="s">
        <v>251</v>
      </c>
      <c r="E96" s="154" t="s">
        <v>446</v>
      </c>
      <c r="F96" s="3" t="s">
        <v>86</v>
      </c>
      <c r="G96" s="153">
        <v>65130</v>
      </c>
      <c r="H96" s="3" t="s">
        <v>251</v>
      </c>
      <c r="I96" s="3" t="s">
        <v>128</v>
      </c>
      <c r="J96" s="154" t="s">
        <v>522</v>
      </c>
      <c r="K96" s="154" t="s">
        <v>446</v>
      </c>
      <c r="L96" s="3" t="s">
        <v>545</v>
      </c>
      <c r="M96" s="7">
        <v>260.72000000000003</v>
      </c>
      <c r="N96" s="7">
        <v>751.99</v>
      </c>
      <c r="O96" s="3" t="s">
        <v>491</v>
      </c>
      <c r="P96" t="s">
        <v>221</v>
      </c>
      <c r="Q96" t="s">
        <v>216</v>
      </c>
    </row>
    <row r="97" spans="1:17" x14ac:dyDescent="0.3">
      <c r="A97" s="2"/>
      <c r="B97" s="6">
        <v>46085</v>
      </c>
      <c r="C97" s="6">
        <v>46112</v>
      </c>
      <c r="D97" s="3" t="s">
        <v>251</v>
      </c>
      <c r="E97" s="154" t="s">
        <v>446</v>
      </c>
      <c r="F97" s="3" t="s">
        <v>94</v>
      </c>
      <c r="G97" s="153">
        <v>66140</v>
      </c>
      <c r="H97" s="3" t="s">
        <v>251</v>
      </c>
      <c r="I97" s="3" t="s">
        <v>405</v>
      </c>
      <c r="J97" s="154" t="s">
        <v>533</v>
      </c>
      <c r="K97" s="154" t="s">
        <v>446</v>
      </c>
      <c r="L97" s="3" t="s">
        <v>545</v>
      </c>
      <c r="M97" s="7">
        <v>19.8</v>
      </c>
      <c r="N97" s="7">
        <v>374.47</v>
      </c>
      <c r="O97" s="3" t="s">
        <v>252</v>
      </c>
      <c r="P97" t="s">
        <v>222</v>
      </c>
      <c r="Q97" t="s">
        <v>216</v>
      </c>
    </row>
    <row r="98" spans="1:17" x14ac:dyDescent="0.3">
      <c r="A98" s="2"/>
      <c r="B98" s="6">
        <v>46085</v>
      </c>
      <c r="C98" s="6">
        <v>46112</v>
      </c>
      <c r="D98" s="3" t="s">
        <v>251</v>
      </c>
      <c r="E98" s="154" t="s">
        <v>446</v>
      </c>
      <c r="F98" s="3" t="s">
        <v>95</v>
      </c>
      <c r="G98" s="153">
        <v>66150</v>
      </c>
      <c r="H98" s="3" t="s">
        <v>251</v>
      </c>
      <c r="I98" s="3" t="s">
        <v>396</v>
      </c>
      <c r="J98" s="154" t="s">
        <v>533</v>
      </c>
      <c r="K98" s="154" t="s">
        <v>446</v>
      </c>
      <c r="L98" s="3" t="s">
        <v>545</v>
      </c>
      <c r="M98" s="7">
        <v>2170</v>
      </c>
      <c r="N98" s="7">
        <v>3765</v>
      </c>
      <c r="O98" s="3" t="s">
        <v>252</v>
      </c>
      <c r="P98" t="s">
        <v>222</v>
      </c>
      <c r="Q98" t="s">
        <v>216</v>
      </c>
    </row>
    <row r="99" spans="1:17" x14ac:dyDescent="0.3">
      <c r="A99" s="2"/>
      <c r="B99" s="6">
        <v>46085</v>
      </c>
      <c r="C99" s="6">
        <v>46112</v>
      </c>
      <c r="D99" s="3" t="s">
        <v>251</v>
      </c>
      <c r="E99" s="154" t="s">
        <v>446</v>
      </c>
      <c r="F99" s="3" t="s">
        <v>101</v>
      </c>
      <c r="G99" s="153">
        <v>67112</v>
      </c>
      <c r="H99" s="3" t="s">
        <v>251</v>
      </c>
      <c r="I99" s="3" t="s">
        <v>408</v>
      </c>
      <c r="J99" s="154" t="s">
        <v>520</v>
      </c>
      <c r="K99" s="154" t="s">
        <v>446</v>
      </c>
      <c r="L99" s="3" t="s">
        <v>553</v>
      </c>
      <c r="M99" s="7">
        <v>25.75</v>
      </c>
      <c r="N99" s="7">
        <v>874.5</v>
      </c>
      <c r="O99" s="3" t="s">
        <v>252</v>
      </c>
      <c r="P99" t="s">
        <v>217</v>
      </c>
      <c r="Q99" t="s">
        <v>216</v>
      </c>
    </row>
    <row r="100" spans="1:17" x14ac:dyDescent="0.3">
      <c r="A100" s="2"/>
      <c r="B100" s="6">
        <v>46086</v>
      </c>
      <c r="C100" s="6">
        <v>46112</v>
      </c>
      <c r="D100" s="3" t="s">
        <v>251</v>
      </c>
      <c r="E100" s="154" t="s">
        <v>446</v>
      </c>
      <c r="F100" s="3" t="s">
        <v>93</v>
      </c>
      <c r="G100" s="153">
        <v>66130</v>
      </c>
      <c r="H100" s="3" t="s">
        <v>251</v>
      </c>
      <c r="I100" s="3" t="s">
        <v>128</v>
      </c>
      <c r="J100" s="154" t="s">
        <v>533</v>
      </c>
      <c r="K100" s="154" t="s">
        <v>446</v>
      </c>
      <c r="L100" s="3" t="s">
        <v>547</v>
      </c>
      <c r="M100" s="7">
        <v>40.6</v>
      </c>
      <c r="N100" s="7">
        <v>526.75</v>
      </c>
      <c r="O100" s="3" t="s">
        <v>252</v>
      </c>
      <c r="P100" t="s">
        <v>222</v>
      </c>
      <c r="Q100" t="s">
        <v>216</v>
      </c>
    </row>
    <row r="101" spans="1:17" x14ac:dyDescent="0.3">
      <c r="A101" s="2"/>
      <c r="B101" s="6">
        <v>46086</v>
      </c>
      <c r="C101" s="6">
        <v>46112</v>
      </c>
      <c r="D101" s="3" t="s">
        <v>251</v>
      </c>
      <c r="E101" s="154" t="s">
        <v>446</v>
      </c>
      <c r="F101" s="3" t="s">
        <v>94</v>
      </c>
      <c r="G101" s="153">
        <v>66140</v>
      </c>
      <c r="H101" s="3" t="s">
        <v>251</v>
      </c>
      <c r="I101" s="3" t="s">
        <v>405</v>
      </c>
      <c r="J101" s="154" t="s">
        <v>533</v>
      </c>
      <c r="K101" s="154" t="s">
        <v>446</v>
      </c>
      <c r="L101" s="3" t="s">
        <v>545</v>
      </c>
      <c r="M101" s="7">
        <v>10.95</v>
      </c>
      <c r="N101" s="7">
        <v>385.42</v>
      </c>
      <c r="O101" s="3" t="s">
        <v>252</v>
      </c>
      <c r="P101" t="s">
        <v>222</v>
      </c>
      <c r="Q101" t="s">
        <v>216</v>
      </c>
    </row>
    <row r="102" spans="1:17" x14ac:dyDescent="0.3">
      <c r="A102" s="2"/>
      <c r="B102" s="6">
        <v>46086</v>
      </c>
      <c r="C102" s="6">
        <v>46112</v>
      </c>
      <c r="D102" s="3" t="s">
        <v>251</v>
      </c>
      <c r="E102" s="154" t="s">
        <v>446</v>
      </c>
      <c r="F102" s="3" t="s">
        <v>94</v>
      </c>
      <c r="G102" s="153">
        <v>66140</v>
      </c>
      <c r="H102" s="3" t="s">
        <v>251</v>
      </c>
      <c r="I102" s="3" t="s">
        <v>405</v>
      </c>
      <c r="J102" s="154" t="s">
        <v>533</v>
      </c>
      <c r="K102" s="154" t="s">
        <v>446</v>
      </c>
      <c r="L102" s="3" t="s">
        <v>545</v>
      </c>
      <c r="M102" s="7">
        <v>27.43</v>
      </c>
      <c r="N102" s="7">
        <v>412.85</v>
      </c>
      <c r="O102" s="3" t="s">
        <v>252</v>
      </c>
      <c r="P102" t="s">
        <v>222</v>
      </c>
      <c r="Q102" t="s">
        <v>216</v>
      </c>
    </row>
    <row r="103" spans="1:17" x14ac:dyDescent="0.3">
      <c r="A103" s="2"/>
      <c r="B103" s="6">
        <v>46086</v>
      </c>
      <c r="C103" s="6">
        <v>46112</v>
      </c>
      <c r="D103" s="3" t="s">
        <v>251</v>
      </c>
      <c r="E103" s="154" t="s">
        <v>446</v>
      </c>
      <c r="F103" s="3" t="s">
        <v>94</v>
      </c>
      <c r="G103" s="153">
        <v>66140</v>
      </c>
      <c r="H103" s="3" t="s">
        <v>251</v>
      </c>
      <c r="I103" s="3" t="s">
        <v>405</v>
      </c>
      <c r="J103" s="154" t="s">
        <v>533</v>
      </c>
      <c r="K103" s="154" t="s">
        <v>446</v>
      </c>
      <c r="L103" s="3" t="s">
        <v>545</v>
      </c>
      <c r="M103" s="7">
        <v>12.49</v>
      </c>
      <c r="N103" s="7">
        <v>425.34</v>
      </c>
      <c r="O103" s="3" t="s">
        <v>252</v>
      </c>
      <c r="P103" t="s">
        <v>222</v>
      </c>
      <c r="Q103" t="s">
        <v>216</v>
      </c>
    </row>
    <row r="104" spans="1:17" x14ac:dyDescent="0.3">
      <c r="A104" s="2"/>
      <c r="B104" s="6">
        <v>46086</v>
      </c>
      <c r="C104" s="6">
        <v>46112</v>
      </c>
      <c r="D104" s="3" t="s">
        <v>251</v>
      </c>
      <c r="E104" s="154" t="s">
        <v>446</v>
      </c>
      <c r="F104" s="3" t="s">
        <v>94</v>
      </c>
      <c r="G104" s="153">
        <v>66140</v>
      </c>
      <c r="H104" s="3" t="s">
        <v>251</v>
      </c>
      <c r="I104" s="3" t="s">
        <v>405</v>
      </c>
      <c r="J104" s="154" t="s">
        <v>533</v>
      </c>
      <c r="K104" s="154" t="s">
        <v>446</v>
      </c>
      <c r="L104" s="3" t="s">
        <v>545</v>
      </c>
      <c r="M104" s="7">
        <v>11.08</v>
      </c>
      <c r="N104" s="7">
        <v>436.42</v>
      </c>
      <c r="O104" s="3" t="s">
        <v>252</v>
      </c>
      <c r="P104" t="s">
        <v>222</v>
      </c>
      <c r="Q104" t="s">
        <v>216</v>
      </c>
    </row>
    <row r="105" spans="1:17" x14ac:dyDescent="0.3">
      <c r="A105" s="2"/>
      <c r="B105" s="6">
        <v>46086</v>
      </c>
      <c r="C105" s="6">
        <v>46112</v>
      </c>
      <c r="D105" s="3" t="s">
        <v>251</v>
      </c>
      <c r="E105" s="154" t="s">
        <v>446</v>
      </c>
      <c r="F105" s="3" t="s">
        <v>99</v>
      </c>
      <c r="G105" s="153">
        <v>67110</v>
      </c>
      <c r="H105" s="3" t="s">
        <v>251</v>
      </c>
      <c r="I105" s="3" t="s">
        <v>398</v>
      </c>
      <c r="J105" s="154" t="s">
        <v>570</v>
      </c>
      <c r="K105" s="154" t="s">
        <v>446</v>
      </c>
      <c r="L105" s="3" t="s">
        <v>545</v>
      </c>
      <c r="M105" s="7">
        <v>128.94</v>
      </c>
      <c r="N105" s="7">
        <v>4239.33</v>
      </c>
      <c r="O105" s="3" t="s">
        <v>252</v>
      </c>
      <c r="P105" t="s">
        <v>126</v>
      </c>
      <c r="Q105" t="s">
        <v>216</v>
      </c>
    </row>
    <row r="106" spans="1:17" x14ac:dyDescent="0.3">
      <c r="A106" s="2"/>
      <c r="B106" s="6">
        <v>46089</v>
      </c>
      <c r="C106" s="6">
        <v>46112</v>
      </c>
      <c r="D106" s="3" t="s">
        <v>251</v>
      </c>
      <c r="E106" s="154" t="s">
        <v>446</v>
      </c>
      <c r="F106" s="3" t="s">
        <v>124</v>
      </c>
      <c r="G106" s="153">
        <v>68105</v>
      </c>
      <c r="H106" s="3" t="s">
        <v>251</v>
      </c>
      <c r="I106" s="3" t="s">
        <v>407</v>
      </c>
      <c r="J106" s="154" t="s">
        <v>536</v>
      </c>
      <c r="K106" s="154" t="s">
        <v>446</v>
      </c>
      <c r="L106" s="3" t="s">
        <v>545</v>
      </c>
      <c r="M106" s="7">
        <v>400</v>
      </c>
      <c r="N106" s="7">
        <v>400</v>
      </c>
      <c r="O106" s="3" t="s">
        <v>252</v>
      </c>
      <c r="P106" t="s">
        <v>217</v>
      </c>
      <c r="Q106" t="s">
        <v>216</v>
      </c>
    </row>
    <row r="107" spans="1:17" x14ac:dyDescent="0.3">
      <c r="A107" s="2"/>
      <c r="B107" s="6">
        <v>46090</v>
      </c>
      <c r="C107" s="6">
        <v>46112</v>
      </c>
      <c r="D107" s="3" t="s">
        <v>251</v>
      </c>
      <c r="E107" s="154" t="s">
        <v>446</v>
      </c>
      <c r="F107" s="3" t="s">
        <v>68</v>
      </c>
      <c r="G107" s="153">
        <v>63120</v>
      </c>
      <c r="H107" s="3" t="s">
        <v>251</v>
      </c>
      <c r="I107" s="3" t="s">
        <v>406</v>
      </c>
      <c r="J107" s="154" t="s">
        <v>541</v>
      </c>
      <c r="K107" s="154" t="s">
        <v>446</v>
      </c>
      <c r="L107" s="3" t="s">
        <v>545</v>
      </c>
      <c r="M107" s="7">
        <v>1300</v>
      </c>
      <c r="N107" s="7">
        <v>14200</v>
      </c>
      <c r="O107" s="3" t="s">
        <v>252</v>
      </c>
      <c r="P107" t="s">
        <v>219</v>
      </c>
      <c r="Q107" t="s">
        <v>216</v>
      </c>
    </row>
    <row r="108" spans="1:17" x14ac:dyDescent="0.3">
      <c r="A108" s="2"/>
      <c r="B108" s="6">
        <v>46091</v>
      </c>
      <c r="C108" s="6">
        <v>46112</v>
      </c>
      <c r="D108" s="3" t="s">
        <v>397</v>
      </c>
      <c r="E108" s="154" t="s">
        <v>446</v>
      </c>
      <c r="F108" s="3" t="s">
        <v>552</v>
      </c>
      <c r="G108" s="153">
        <v>51100</v>
      </c>
      <c r="H108" s="3" t="s">
        <v>37</v>
      </c>
      <c r="I108" s="3" t="s">
        <v>403</v>
      </c>
      <c r="J108" s="154" t="s">
        <v>529</v>
      </c>
      <c r="K108" s="154" t="s">
        <v>446</v>
      </c>
      <c r="L108" s="3" t="s">
        <v>163</v>
      </c>
      <c r="M108" s="7">
        <v>4726.9799999999996</v>
      </c>
      <c r="N108" s="7">
        <v>30455.17</v>
      </c>
      <c r="O108" s="3" t="s">
        <v>492</v>
      </c>
      <c r="P108" t="s">
        <v>550</v>
      </c>
      <c r="Q108" t="s">
        <v>211</v>
      </c>
    </row>
    <row r="109" spans="1:17" x14ac:dyDescent="0.3">
      <c r="A109" s="2"/>
      <c r="B109" s="6">
        <v>46092</v>
      </c>
      <c r="C109" s="6">
        <v>46112</v>
      </c>
      <c r="D109" s="3" t="s">
        <v>251</v>
      </c>
      <c r="E109" s="154" t="s">
        <v>446</v>
      </c>
      <c r="F109" s="3" t="s">
        <v>99</v>
      </c>
      <c r="G109" s="153">
        <v>67110</v>
      </c>
      <c r="H109" s="3" t="s">
        <v>251</v>
      </c>
      <c r="I109" s="3" t="s">
        <v>398</v>
      </c>
      <c r="J109" s="154" t="s">
        <v>571</v>
      </c>
      <c r="K109" s="154" t="s">
        <v>446</v>
      </c>
      <c r="L109" s="3" t="s">
        <v>545</v>
      </c>
      <c r="M109" s="7">
        <v>799</v>
      </c>
      <c r="N109" s="7">
        <v>5038.33</v>
      </c>
      <c r="O109" s="3" t="s">
        <v>252</v>
      </c>
      <c r="P109" t="s">
        <v>126</v>
      </c>
      <c r="Q109" t="s">
        <v>216</v>
      </c>
    </row>
    <row r="110" spans="1:17" x14ac:dyDescent="0.3">
      <c r="A110" s="2"/>
      <c r="B110" s="6">
        <v>46093</v>
      </c>
      <c r="C110" s="6">
        <v>46112</v>
      </c>
      <c r="D110" s="3" t="s">
        <v>251</v>
      </c>
      <c r="E110" s="154" t="s">
        <v>446</v>
      </c>
      <c r="F110" s="3" t="s">
        <v>78</v>
      </c>
      <c r="G110" s="153">
        <v>64140</v>
      </c>
      <c r="H110" s="3" t="s">
        <v>251</v>
      </c>
      <c r="I110" s="3" t="s">
        <v>405</v>
      </c>
      <c r="J110" s="154" t="s">
        <v>535</v>
      </c>
      <c r="K110" s="154" t="s">
        <v>446</v>
      </c>
      <c r="L110" s="3" t="s">
        <v>545</v>
      </c>
      <c r="M110" s="7">
        <v>28.88</v>
      </c>
      <c r="N110" s="7">
        <v>28.88</v>
      </c>
      <c r="O110" s="3" t="s">
        <v>252</v>
      </c>
      <c r="P110" t="s">
        <v>220</v>
      </c>
      <c r="Q110" t="s">
        <v>216</v>
      </c>
    </row>
    <row r="111" spans="1:17" x14ac:dyDescent="0.3">
      <c r="A111" s="2"/>
      <c r="B111" s="6">
        <v>46093</v>
      </c>
      <c r="C111" s="6">
        <v>46112</v>
      </c>
      <c r="D111" s="3" t="s">
        <v>251</v>
      </c>
      <c r="E111" s="154" t="s">
        <v>446</v>
      </c>
      <c r="F111" s="3" t="s">
        <v>99</v>
      </c>
      <c r="G111" s="153">
        <v>67110</v>
      </c>
      <c r="H111" s="3" t="s">
        <v>251</v>
      </c>
      <c r="I111" s="3" t="s">
        <v>398</v>
      </c>
      <c r="J111" s="154" t="s">
        <v>572</v>
      </c>
      <c r="K111" s="154" t="s">
        <v>446</v>
      </c>
      <c r="L111" s="3" t="s">
        <v>545</v>
      </c>
      <c r="M111" s="7">
        <v>386.82</v>
      </c>
      <c r="N111" s="7">
        <v>5425.15</v>
      </c>
      <c r="O111" s="3" t="s">
        <v>252</v>
      </c>
      <c r="P111" t="s">
        <v>126</v>
      </c>
      <c r="Q111" t="s">
        <v>216</v>
      </c>
    </row>
    <row r="112" spans="1:17" x14ac:dyDescent="0.3">
      <c r="A112" s="2"/>
      <c r="B112" s="6">
        <v>46094</v>
      </c>
      <c r="C112" s="6">
        <v>46112</v>
      </c>
      <c r="D112" s="3" t="s">
        <v>395</v>
      </c>
      <c r="E112" s="154" t="s">
        <v>446</v>
      </c>
      <c r="F112" s="3" t="s">
        <v>39</v>
      </c>
      <c r="G112" s="153">
        <v>53100</v>
      </c>
      <c r="H112" s="3" t="s">
        <v>37</v>
      </c>
      <c r="I112" s="3" t="s">
        <v>401</v>
      </c>
      <c r="J112" s="154" t="s">
        <v>521</v>
      </c>
      <c r="K112" s="154" t="s">
        <v>446</v>
      </c>
      <c r="L112" s="3" t="s">
        <v>394</v>
      </c>
      <c r="M112" s="7">
        <v>9724.34</v>
      </c>
      <c r="N112" s="7">
        <v>62193.04</v>
      </c>
      <c r="O112" s="3" t="s">
        <v>491</v>
      </c>
      <c r="P112" t="s">
        <v>212</v>
      </c>
      <c r="Q112" t="s">
        <v>211</v>
      </c>
    </row>
    <row r="113" spans="1:17" x14ac:dyDescent="0.3">
      <c r="A113" s="2"/>
      <c r="B113" s="6">
        <v>46094</v>
      </c>
      <c r="C113" s="6">
        <v>46112</v>
      </c>
      <c r="D113" s="3" t="s">
        <v>395</v>
      </c>
      <c r="E113" s="154" t="s">
        <v>446</v>
      </c>
      <c r="F113" s="3" t="s">
        <v>39</v>
      </c>
      <c r="G113" s="153">
        <v>53100</v>
      </c>
      <c r="H113" s="3" t="s">
        <v>37</v>
      </c>
      <c r="I113" s="3" t="s">
        <v>401</v>
      </c>
      <c r="J113" s="154" t="s">
        <v>528</v>
      </c>
      <c r="K113" s="154" t="s">
        <v>446</v>
      </c>
      <c r="L113" s="3" t="s">
        <v>394</v>
      </c>
      <c r="M113" s="7">
        <v>5457.15</v>
      </c>
      <c r="N113" s="7">
        <v>67650.19</v>
      </c>
      <c r="O113" s="3" t="s">
        <v>492</v>
      </c>
      <c r="P113" t="s">
        <v>212</v>
      </c>
      <c r="Q113" t="s">
        <v>211</v>
      </c>
    </row>
    <row r="114" spans="1:17" x14ac:dyDescent="0.3">
      <c r="A114" s="2"/>
      <c r="B114" s="6">
        <v>46094</v>
      </c>
      <c r="C114" s="6">
        <v>46112</v>
      </c>
      <c r="D114" s="3" t="s">
        <v>395</v>
      </c>
      <c r="E114" s="154" t="s">
        <v>446</v>
      </c>
      <c r="F114" s="3" t="s">
        <v>543</v>
      </c>
      <c r="G114" s="153">
        <v>53200</v>
      </c>
      <c r="H114" s="3" t="s">
        <v>37</v>
      </c>
      <c r="I114" s="3" t="s">
        <v>401</v>
      </c>
      <c r="J114" s="154" t="s">
        <v>521</v>
      </c>
      <c r="K114" s="154" t="s">
        <v>446</v>
      </c>
      <c r="L114" s="3" t="s">
        <v>394</v>
      </c>
      <c r="M114" s="7">
        <v>1633.15</v>
      </c>
      <c r="N114" s="7">
        <v>18134.66</v>
      </c>
      <c r="O114" s="3" t="s">
        <v>491</v>
      </c>
      <c r="P114" t="s">
        <v>212</v>
      </c>
      <c r="Q114" t="s">
        <v>211</v>
      </c>
    </row>
    <row r="115" spans="1:17" x14ac:dyDescent="0.3">
      <c r="A115" s="2"/>
      <c r="B115" s="6">
        <v>46094</v>
      </c>
      <c r="C115" s="6">
        <v>46112</v>
      </c>
      <c r="D115" s="3" t="s">
        <v>395</v>
      </c>
      <c r="E115" s="154" t="s">
        <v>446</v>
      </c>
      <c r="F115" s="3" t="s">
        <v>543</v>
      </c>
      <c r="G115" s="153">
        <v>53200</v>
      </c>
      <c r="H115" s="3" t="s">
        <v>37</v>
      </c>
      <c r="I115" s="3" t="s">
        <v>401</v>
      </c>
      <c r="J115" s="154" t="s">
        <v>528</v>
      </c>
      <c r="K115" s="154" t="s">
        <v>446</v>
      </c>
      <c r="L115" s="3" t="s">
        <v>394</v>
      </c>
      <c r="M115" s="7">
        <v>1018.68</v>
      </c>
      <c r="N115" s="7">
        <v>19153.34</v>
      </c>
      <c r="O115" s="3" t="s">
        <v>492</v>
      </c>
      <c r="P115" t="s">
        <v>212</v>
      </c>
      <c r="Q115" t="s">
        <v>211</v>
      </c>
    </row>
    <row r="116" spans="1:17" x14ac:dyDescent="0.3">
      <c r="A116" s="2"/>
      <c r="B116" s="6">
        <v>46094</v>
      </c>
      <c r="C116" s="6">
        <v>46112</v>
      </c>
      <c r="D116" s="3" t="s">
        <v>395</v>
      </c>
      <c r="E116" s="154" t="s">
        <v>446</v>
      </c>
      <c r="F116" s="3" t="s">
        <v>43</v>
      </c>
      <c r="G116" s="153">
        <v>53230</v>
      </c>
      <c r="H116" s="3" t="s">
        <v>37</v>
      </c>
      <c r="I116" s="3" t="s">
        <v>401</v>
      </c>
      <c r="J116" s="154" t="s">
        <v>521</v>
      </c>
      <c r="K116" s="154" t="s">
        <v>446</v>
      </c>
      <c r="L116" s="3" t="s">
        <v>394</v>
      </c>
      <c r="M116" s="7">
        <v>-69.37</v>
      </c>
      <c r="N116" s="7">
        <v>-331.98</v>
      </c>
      <c r="O116" s="3" t="s">
        <v>491</v>
      </c>
      <c r="P116" t="s">
        <v>212</v>
      </c>
      <c r="Q116" t="s">
        <v>211</v>
      </c>
    </row>
    <row r="117" spans="1:17" x14ac:dyDescent="0.3">
      <c r="A117" s="2"/>
      <c r="B117" s="6">
        <v>46094</v>
      </c>
      <c r="C117" s="6">
        <v>46112</v>
      </c>
      <c r="D117" s="3" t="s">
        <v>395</v>
      </c>
      <c r="E117" s="154" t="s">
        <v>446</v>
      </c>
      <c r="F117" s="3" t="s">
        <v>44</v>
      </c>
      <c r="G117" s="153">
        <v>53240</v>
      </c>
      <c r="H117" s="3" t="s">
        <v>37</v>
      </c>
      <c r="I117" s="3" t="s">
        <v>401</v>
      </c>
      <c r="J117" s="154" t="s">
        <v>521</v>
      </c>
      <c r="K117" s="154" t="s">
        <v>446</v>
      </c>
      <c r="L117" s="3" t="s">
        <v>394</v>
      </c>
      <c r="M117" s="7">
        <v>30.77</v>
      </c>
      <c r="N117" s="7">
        <v>252.04</v>
      </c>
      <c r="O117" s="3" t="s">
        <v>491</v>
      </c>
      <c r="P117" t="s">
        <v>212</v>
      </c>
      <c r="Q117" t="s">
        <v>211</v>
      </c>
    </row>
    <row r="118" spans="1:17" x14ac:dyDescent="0.3">
      <c r="A118" s="2"/>
      <c r="B118" s="6">
        <v>46094</v>
      </c>
      <c r="C118" s="6">
        <v>46112</v>
      </c>
      <c r="D118" s="3" t="s">
        <v>395</v>
      </c>
      <c r="E118" s="154" t="s">
        <v>446</v>
      </c>
      <c r="F118" s="3" t="s">
        <v>44</v>
      </c>
      <c r="G118" s="153">
        <v>53240</v>
      </c>
      <c r="H118" s="3" t="s">
        <v>37</v>
      </c>
      <c r="I118" s="3" t="s">
        <v>401</v>
      </c>
      <c r="J118" s="154" t="s">
        <v>528</v>
      </c>
      <c r="K118" s="154" t="s">
        <v>446</v>
      </c>
      <c r="L118" s="3" t="s">
        <v>394</v>
      </c>
      <c r="M118" s="7">
        <v>19.62</v>
      </c>
      <c r="N118" s="7">
        <v>271.66000000000003</v>
      </c>
      <c r="O118" s="3" t="s">
        <v>492</v>
      </c>
      <c r="P118" t="s">
        <v>212</v>
      </c>
      <c r="Q118" t="s">
        <v>211</v>
      </c>
    </row>
    <row r="119" spans="1:17" x14ac:dyDescent="0.3">
      <c r="A119" s="2"/>
      <c r="B119" s="6">
        <v>46094</v>
      </c>
      <c r="C119" s="6">
        <v>46112</v>
      </c>
      <c r="D119" s="3" t="s">
        <v>395</v>
      </c>
      <c r="E119" s="154" t="s">
        <v>446</v>
      </c>
      <c r="F119" s="3" t="s">
        <v>45</v>
      </c>
      <c r="G119" s="153">
        <v>53300</v>
      </c>
      <c r="H119" s="3" t="s">
        <v>37</v>
      </c>
      <c r="I119" s="3" t="s">
        <v>401</v>
      </c>
      <c r="J119" s="154" t="s">
        <v>528</v>
      </c>
      <c r="K119" s="154" t="s">
        <v>446</v>
      </c>
      <c r="L119" s="3" t="s">
        <v>394</v>
      </c>
      <c r="M119" s="7">
        <v>405.45</v>
      </c>
      <c r="N119" s="7">
        <v>5806</v>
      </c>
      <c r="O119" s="3" t="s">
        <v>492</v>
      </c>
      <c r="P119" t="s">
        <v>212</v>
      </c>
      <c r="Q119" t="s">
        <v>211</v>
      </c>
    </row>
    <row r="120" spans="1:17" x14ac:dyDescent="0.3">
      <c r="A120" s="2"/>
      <c r="B120" s="6">
        <v>46094</v>
      </c>
      <c r="C120" s="6">
        <v>46112</v>
      </c>
      <c r="D120" s="3" t="s">
        <v>395</v>
      </c>
      <c r="E120" s="154" t="s">
        <v>446</v>
      </c>
      <c r="F120" s="3" t="s">
        <v>45</v>
      </c>
      <c r="G120" s="153">
        <v>53300</v>
      </c>
      <c r="H120" s="3" t="s">
        <v>37</v>
      </c>
      <c r="I120" s="3" t="s">
        <v>401</v>
      </c>
      <c r="J120" s="154" t="s">
        <v>521</v>
      </c>
      <c r="K120" s="154" t="s">
        <v>446</v>
      </c>
      <c r="L120" s="3" t="s">
        <v>394</v>
      </c>
      <c r="M120" s="7">
        <v>716.44</v>
      </c>
      <c r="N120" s="7">
        <v>6522.44</v>
      </c>
      <c r="O120" s="3" t="s">
        <v>491</v>
      </c>
      <c r="P120" t="s">
        <v>212</v>
      </c>
      <c r="Q120" t="s">
        <v>211</v>
      </c>
    </row>
    <row r="121" spans="1:17" x14ac:dyDescent="0.3">
      <c r="A121" s="2"/>
      <c r="B121" s="6">
        <v>46094</v>
      </c>
      <c r="C121" s="6">
        <v>46112</v>
      </c>
      <c r="D121" s="3" t="s">
        <v>395</v>
      </c>
      <c r="E121" s="154" t="s">
        <v>446</v>
      </c>
      <c r="F121" s="3" t="s">
        <v>51</v>
      </c>
      <c r="G121" s="153">
        <v>61100</v>
      </c>
      <c r="H121" s="3" t="s">
        <v>251</v>
      </c>
      <c r="I121" s="3" t="s">
        <v>399</v>
      </c>
      <c r="J121" s="154" t="s">
        <v>531</v>
      </c>
      <c r="K121" s="154" t="s">
        <v>446</v>
      </c>
      <c r="L121" s="3" t="s">
        <v>394</v>
      </c>
      <c r="M121" s="7">
        <v>11530.25</v>
      </c>
      <c r="N121" s="7">
        <v>54012.24</v>
      </c>
      <c r="O121" s="3" t="s">
        <v>252</v>
      </c>
      <c r="P121" t="s">
        <v>218</v>
      </c>
      <c r="Q121" t="s">
        <v>216</v>
      </c>
    </row>
    <row r="122" spans="1:17" x14ac:dyDescent="0.3">
      <c r="A122" s="2"/>
      <c r="B122" s="6">
        <v>46094</v>
      </c>
      <c r="C122" s="6">
        <v>46112</v>
      </c>
      <c r="D122" s="3" t="s">
        <v>395</v>
      </c>
      <c r="E122" s="154" t="s">
        <v>446</v>
      </c>
      <c r="F122" s="3" t="s">
        <v>53</v>
      </c>
      <c r="G122" s="153">
        <v>61120</v>
      </c>
      <c r="H122" s="3" t="s">
        <v>251</v>
      </c>
      <c r="I122" s="3" t="s">
        <v>399</v>
      </c>
      <c r="J122" s="154" t="s">
        <v>531</v>
      </c>
      <c r="K122" s="154" t="s">
        <v>446</v>
      </c>
      <c r="L122" s="3" t="s">
        <v>394</v>
      </c>
      <c r="M122" s="7">
        <v>8162.29</v>
      </c>
      <c r="N122" s="7">
        <v>39062.39</v>
      </c>
      <c r="O122" s="3" t="s">
        <v>252</v>
      </c>
      <c r="P122" t="s">
        <v>218</v>
      </c>
      <c r="Q122" t="s">
        <v>216</v>
      </c>
    </row>
    <row r="123" spans="1:17" x14ac:dyDescent="0.3">
      <c r="A123" s="2"/>
      <c r="B123" s="6">
        <v>46094</v>
      </c>
      <c r="C123" s="6">
        <v>46112</v>
      </c>
      <c r="D123" s="3" t="s">
        <v>395</v>
      </c>
      <c r="E123" s="154" t="s">
        <v>446</v>
      </c>
      <c r="F123" s="3" t="s">
        <v>544</v>
      </c>
      <c r="G123" s="153">
        <v>61200</v>
      </c>
      <c r="H123" s="3" t="s">
        <v>251</v>
      </c>
      <c r="I123" s="3" t="s">
        <v>399</v>
      </c>
      <c r="J123" s="154" t="s">
        <v>531</v>
      </c>
      <c r="K123" s="154" t="s">
        <v>446</v>
      </c>
      <c r="L123" s="3" t="s">
        <v>394</v>
      </c>
      <c r="M123" s="7">
        <v>1048.1500000000001</v>
      </c>
      <c r="N123" s="7">
        <v>11478.61</v>
      </c>
      <c r="O123" s="3" t="s">
        <v>252</v>
      </c>
      <c r="P123" t="s">
        <v>218</v>
      </c>
      <c r="Q123" t="s">
        <v>216</v>
      </c>
    </row>
    <row r="124" spans="1:17" x14ac:dyDescent="0.3">
      <c r="A124" s="2"/>
      <c r="B124" s="6">
        <v>46094</v>
      </c>
      <c r="C124" s="6">
        <v>46112</v>
      </c>
      <c r="D124" s="3" t="s">
        <v>395</v>
      </c>
      <c r="E124" s="154" t="s">
        <v>446</v>
      </c>
      <c r="F124" s="3" t="s">
        <v>56</v>
      </c>
      <c r="G124" s="153">
        <v>61230</v>
      </c>
      <c r="H124" s="3" t="s">
        <v>251</v>
      </c>
      <c r="I124" s="3" t="s">
        <v>399</v>
      </c>
      <c r="J124" s="154" t="s">
        <v>531</v>
      </c>
      <c r="K124" s="154" t="s">
        <v>446</v>
      </c>
      <c r="L124" s="3" t="s">
        <v>394</v>
      </c>
      <c r="M124" s="7">
        <v>-5.54</v>
      </c>
      <c r="N124" s="7">
        <v>-26.51</v>
      </c>
      <c r="O124" s="3" t="s">
        <v>252</v>
      </c>
      <c r="P124" t="s">
        <v>218</v>
      </c>
      <c r="Q124" t="s">
        <v>216</v>
      </c>
    </row>
    <row r="125" spans="1:17" x14ac:dyDescent="0.3">
      <c r="A125" s="2"/>
      <c r="B125" s="6">
        <v>46094</v>
      </c>
      <c r="C125" s="6">
        <v>46112</v>
      </c>
      <c r="D125" s="3" t="s">
        <v>395</v>
      </c>
      <c r="E125" s="154" t="s">
        <v>446</v>
      </c>
      <c r="F125" s="3" t="s">
        <v>57</v>
      </c>
      <c r="G125" s="153">
        <v>61240</v>
      </c>
      <c r="H125" s="3" t="s">
        <v>251</v>
      </c>
      <c r="I125" s="3" t="s">
        <v>400</v>
      </c>
      <c r="J125" s="154" t="s">
        <v>531</v>
      </c>
      <c r="K125" s="154" t="s">
        <v>446</v>
      </c>
      <c r="L125" s="3" t="s">
        <v>394</v>
      </c>
      <c r="M125" s="7">
        <v>26.74</v>
      </c>
      <c r="N125" s="7">
        <v>158.88999999999999</v>
      </c>
      <c r="O125" s="3" t="s">
        <v>252</v>
      </c>
      <c r="P125" t="s">
        <v>218</v>
      </c>
      <c r="Q125" t="s">
        <v>216</v>
      </c>
    </row>
    <row r="126" spans="1:17" x14ac:dyDescent="0.3">
      <c r="A126" s="2"/>
      <c r="B126" s="6">
        <v>46094</v>
      </c>
      <c r="C126" s="6">
        <v>46112</v>
      </c>
      <c r="D126" s="3" t="s">
        <v>395</v>
      </c>
      <c r="E126" s="154" t="s">
        <v>446</v>
      </c>
      <c r="F126" s="3" t="s">
        <v>58</v>
      </c>
      <c r="G126" s="153">
        <v>61300</v>
      </c>
      <c r="H126" s="3" t="s">
        <v>251</v>
      </c>
      <c r="I126" s="3" t="s">
        <v>399</v>
      </c>
      <c r="J126" s="154" t="s">
        <v>531</v>
      </c>
      <c r="K126" s="154" t="s">
        <v>446</v>
      </c>
      <c r="L126" s="3" t="s">
        <v>394</v>
      </c>
      <c r="M126" s="7">
        <v>867.48</v>
      </c>
      <c r="N126" s="7">
        <v>6094.44</v>
      </c>
      <c r="O126" s="3" t="s">
        <v>252</v>
      </c>
      <c r="P126" t="s">
        <v>218</v>
      </c>
      <c r="Q126" t="s">
        <v>216</v>
      </c>
    </row>
    <row r="127" spans="1:17" x14ac:dyDescent="0.3">
      <c r="A127" s="2"/>
      <c r="B127" s="6">
        <v>46097</v>
      </c>
      <c r="C127" s="6">
        <v>46112</v>
      </c>
      <c r="D127" s="3" t="s">
        <v>251</v>
      </c>
      <c r="E127" s="154" t="s">
        <v>446</v>
      </c>
      <c r="F127" s="3" t="s">
        <v>68</v>
      </c>
      <c r="G127" s="153">
        <v>63120</v>
      </c>
      <c r="H127" s="3" t="s">
        <v>251</v>
      </c>
      <c r="I127" s="3" t="s">
        <v>406</v>
      </c>
      <c r="J127" s="154" t="s">
        <v>541</v>
      </c>
      <c r="K127" s="154" t="s">
        <v>446</v>
      </c>
      <c r="L127" s="3" t="s">
        <v>553</v>
      </c>
      <c r="M127" s="7">
        <v>600</v>
      </c>
      <c r="N127" s="7">
        <v>14800</v>
      </c>
      <c r="O127" s="3" t="s">
        <v>252</v>
      </c>
      <c r="P127" t="s">
        <v>219</v>
      </c>
      <c r="Q127" t="s">
        <v>216</v>
      </c>
    </row>
    <row r="128" spans="1:17" x14ac:dyDescent="0.3">
      <c r="A128" s="2"/>
      <c r="B128" s="6">
        <v>46097</v>
      </c>
      <c r="C128" s="6">
        <v>46112</v>
      </c>
      <c r="D128" s="3" t="s">
        <v>397</v>
      </c>
      <c r="E128" s="154" t="s">
        <v>446</v>
      </c>
      <c r="F128" s="3" t="s">
        <v>70</v>
      </c>
      <c r="G128" s="153">
        <v>63400</v>
      </c>
      <c r="H128" s="3" t="s">
        <v>251</v>
      </c>
      <c r="I128" s="3" t="s">
        <v>406</v>
      </c>
      <c r="J128" s="154" t="s">
        <v>540</v>
      </c>
      <c r="K128" s="154" t="s">
        <v>446</v>
      </c>
      <c r="L128" s="3" t="s">
        <v>163</v>
      </c>
      <c r="M128" s="7">
        <v>604.15</v>
      </c>
      <c r="N128" s="7">
        <v>7375.4</v>
      </c>
      <c r="O128" s="3" t="s">
        <v>252</v>
      </c>
      <c r="P128" t="s">
        <v>219</v>
      </c>
      <c r="Q128" t="s">
        <v>216</v>
      </c>
    </row>
    <row r="129" spans="1:17" x14ac:dyDescent="0.3">
      <c r="A129" s="2"/>
      <c r="B129" s="6">
        <v>46097</v>
      </c>
      <c r="C129" s="6">
        <v>46112</v>
      </c>
      <c r="D129" s="3" t="s">
        <v>395</v>
      </c>
      <c r="E129" s="154" t="s">
        <v>446</v>
      </c>
      <c r="F129" s="3" t="s">
        <v>86</v>
      </c>
      <c r="G129" s="153">
        <v>65130</v>
      </c>
      <c r="H129" s="3" t="s">
        <v>251</v>
      </c>
      <c r="I129" s="3" t="s">
        <v>128</v>
      </c>
      <c r="J129" s="154" t="s">
        <v>522</v>
      </c>
      <c r="K129" s="154" t="s">
        <v>446</v>
      </c>
      <c r="L129" s="3" t="s">
        <v>394</v>
      </c>
      <c r="M129" s="7">
        <v>-130.36000000000001</v>
      </c>
      <c r="N129" s="7">
        <v>621.63</v>
      </c>
      <c r="O129" s="3" t="s">
        <v>491</v>
      </c>
      <c r="P129" t="s">
        <v>221</v>
      </c>
      <c r="Q129" t="s">
        <v>216</v>
      </c>
    </row>
    <row r="130" spans="1:17" x14ac:dyDescent="0.3">
      <c r="A130" s="2"/>
      <c r="B130" s="6">
        <v>46097</v>
      </c>
      <c r="C130" s="6">
        <v>46112</v>
      </c>
      <c r="D130" s="3" t="s">
        <v>395</v>
      </c>
      <c r="E130" s="154" t="s">
        <v>446</v>
      </c>
      <c r="F130" s="3" t="s">
        <v>86</v>
      </c>
      <c r="G130" s="153">
        <v>65130</v>
      </c>
      <c r="H130" s="3" t="s">
        <v>251</v>
      </c>
      <c r="I130" s="3" t="s">
        <v>128</v>
      </c>
      <c r="J130" s="154" t="s">
        <v>522</v>
      </c>
      <c r="K130" s="154" t="s">
        <v>446</v>
      </c>
      <c r="L130" s="3" t="s">
        <v>394</v>
      </c>
      <c r="M130" s="7">
        <v>130.36000000000001</v>
      </c>
      <c r="N130" s="7">
        <v>751.99</v>
      </c>
      <c r="O130" s="3" t="s">
        <v>491</v>
      </c>
      <c r="P130" t="s">
        <v>221</v>
      </c>
      <c r="Q130" t="s">
        <v>216</v>
      </c>
    </row>
    <row r="131" spans="1:17" x14ac:dyDescent="0.3">
      <c r="A131" s="2"/>
      <c r="B131" s="6">
        <v>46097</v>
      </c>
      <c r="C131" s="6">
        <v>46112</v>
      </c>
      <c r="D131" s="3" t="s">
        <v>251</v>
      </c>
      <c r="E131" s="154" t="s">
        <v>446</v>
      </c>
      <c r="F131" s="3" t="s">
        <v>99</v>
      </c>
      <c r="G131" s="153">
        <v>67110</v>
      </c>
      <c r="H131" s="3" t="s">
        <v>251</v>
      </c>
      <c r="I131" s="3" t="s">
        <v>398</v>
      </c>
      <c r="J131" s="154" t="s">
        <v>570</v>
      </c>
      <c r="K131" s="154" t="s">
        <v>446</v>
      </c>
      <c r="L131" s="3" t="s">
        <v>545</v>
      </c>
      <c r="M131" s="7">
        <v>21.49</v>
      </c>
      <c r="N131" s="7">
        <v>5446.64</v>
      </c>
      <c r="O131" s="3" t="s">
        <v>252</v>
      </c>
      <c r="P131" t="s">
        <v>126</v>
      </c>
      <c r="Q131" t="s">
        <v>216</v>
      </c>
    </row>
    <row r="132" spans="1:17" x14ac:dyDescent="0.3">
      <c r="A132" s="2"/>
      <c r="B132" s="6">
        <v>46097</v>
      </c>
      <c r="C132" s="6">
        <v>46112</v>
      </c>
      <c r="D132" s="3" t="s">
        <v>251</v>
      </c>
      <c r="E132" s="154" t="s">
        <v>446</v>
      </c>
      <c r="F132" s="3" t="s">
        <v>103</v>
      </c>
      <c r="G132" s="153">
        <v>67117</v>
      </c>
      <c r="H132" s="3" t="s">
        <v>251</v>
      </c>
      <c r="I132" s="3" t="s">
        <v>404</v>
      </c>
      <c r="J132" s="154" t="s">
        <v>537</v>
      </c>
      <c r="K132" s="154" t="s">
        <v>446</v>
      </c>
      <c r="L132" s="3" t="s">
        <v>545</v>
      </c>
      <c r="M132" s="7">
        <v>180</v>
      </c>
      <c r="N132" s="7">
        <v>180</v>
      </c>
      <c r="O132" s="3" t="s">
        <v>252</v>
      </c>
      <c r="P132" t="s">
        <v>217</v>
      </c>
      <c r="Q132" t="s">
        <v>216</v>
      </c>
    </row>
    <row r="133" spans="1:17" x14ac:dyDescent="0.3">
      <c r="A133" s="2"/>
      <c r="B133" s="6">
        <v>46098</v>
      </c>
      <c r="C133" s="6">
        <v>46112</v>
      </c>
      <c r="D133" s="3" t="s">
        <v>251</v>
      </c>
      <c r="E133" s="154" t="s">
        <v>446</v>
      </c>
      <c r="F133" s="3" t="s">
        <v>99</v>
      </c>
      <c r="G133" s="153">
        <v>67110</v>
      </c>
      <c r="H133" s="3" t="s">
        <v>251</v>
      </c>
      <c r="I133" s="3" t="s">
        <v>398</v>
      </c>
      <c r="J133" s="154" t="s">
        <v>571</v>
      </c>
      <c r="K133" s="154" t="s">
        <v>446</v>
      </c>
      <c r="L133" s="3" t="s">
        <v>545</v>
      </c>
      <c r="M133" s="7">
        <v>123.57</v>
      </c>
      <c r="N133" s="7">
        <v>5570.21</v>
      </c>
      <c r="O133" s="3" t="s">
        <v>252</v>
      </c>
      <c r="P133" t="s">
        <v>126</v>
      </c>
      <c r="Q133" t="s">
        <v>216</v>
      </c>
    </row>
    <row r="134" spans="1:17" x14ac:dyDescent="0.3">
      <c r="A134" s="2"/>
      <c r="B134" s="6">
        <v>46099</v>
      </c>
      <c r="C134" s="6">
        <v>46112</v>
      </c>
      <c r="D134" s="3" t="s">
        <v>395</v>
      </c>
      <c r="E134" s="154" t="s">
        <v>446</v>
      </c>
      <c r="F134" s="3" t="s">
        <v>561</v>
      </c>
      <c r="G134" s="153">
        <v>43000</v>
      </c>
      <c r="H134" s="3" t="s">
        <v>34</v>
      </c>
      <c r="I134" s="3" t="s">
        <v>402</v>
      </c>
      <c r="J134" s="154" t="s">
        <v>559</v>
      </c>
      <c r="K134" s="154" t="s">
        <v>446</v>
      </c>
      <c r="L134" s="3" t="s">
        <v>394</v>
      </c>
      <c r="M134" s="7">
        <v>3053.61</v>
      </c>
      <c r="N134" s="7">
        <v>48665.66</v>
      </c>
      <c r="O134" s="3" t="s">
        <v>491</v>
      </c>
      <c r="P134" t="s">
        <v>491</v>
      </c>
      <c r="Q134" t="s">
        <v>208</v>
      </c>
    </row>
    <row r="135" spans="1:17" x14ac:dyDescent="0.3">
      <c r="A135" s="2"/>
      <c r="B135" s="6">
        <v>46099</v>
      </c>
      <c r="C135" s="6">
        <v>46112</v>
      </c>
      <c r="D135" s="3" t="s">
        <v>395</v>
      </c>
      <c r="E135" s="154" t="s">
        <v>446</v>
      </c>
      <c r="F135" s="3" t="s">
        <v>561</v>
      </c>
      <c r="G135" s="153">
        <v>43000</v>
      </c>
      <c r="H135" s="3" t="s">
        <v>34</v>
      </c>
      <c r="I135" s="3" t="s">
        <v>402</v>
      </c>
      <c r="J135" s="154" t="s">
        <v>568</v>
      </c>
      <c r="K135" s="154" t="s">
        <v>446</v>
      </c>
      <c r="L135" s="3" t="s">
        <v>394</v>
      </c>
      <c r="M135" s="7">
        <v>2617.11</v>
      </c>
      <c r="N135" s="7">
        <v>51282.77</v>
      </c>
      <c r="O135" s="3" t="s">
        <v>491</v>
      </c>
      <c r="P135" t="s">
        <v>491</v>
      </c>
      <c r="Q135" t="s">
        <v>208</v>
      </c>
    </row>
    <row r="136" spans="1:17" x14ac:dyDescent="0.3">
      <c r="A136" s="2"/>
      <c r="B136" s="6">
        <v>46099</v>
      </c>
      <c r="C136" s="6">
        <v>46112</v>
      </c>
      <c r="D136" s="3" t="s">
        <v>395</v>
      </c>
      <c r="E136" s="154" t="s">
        <v>446</v>
      </c>
      <c r="F136" s="3" t="s">
        <v>561</v>
      </c>
      <c r="G136" s="153">
        <v>43000</v>
      </c>
      <c r="H136" s="3" t="s">
        <v>34</v>
      </c>
      <c r="I136" s="3" t="s">
        <v>402</v>
      </c>
      <c r="J136" s="154" t="s">
        <v>558</v>
      </c>
      <c r="K136" s="154" t="s">
        <v>446</v>
      </c>
      <c r="L136" s="3" t="s">
        <v>394</v>
      </c>
      <c r="M136" s="7">
        <v>2119.14</v>
      </c>
      <c r="N136" s="7">
        <v>53401.91</v>
      </c>
      <c r="O136" s="3" t="s">
        <v>491</v>
      </c>
      <c r="P136" t="s">
        <v>491</v>
      </c>
      <c r="Q136" t="s">
        <v>208</v>
      </c>
    </row>
    <row r="137" spans="1:17" x14ac:dyDescent="0.3">
      <c r="A137" s="2"/>
      <c r="B137" s="6">
        <v>46099</v>
      </c>
      <c r="C137" s="6">
        <v>46112</v>
      </c>
      <c r="D137" s="3" t="s">
        <v>395</v>
      </c>
      <c r="E137" s="154" t="s">
        <v>446</v>
      </c>
      <c r="F137" s="3" t="s">
        <v>561</v>
      </c>
      <c r="G137" s="153">
        <v>43000</v>
      </c>
      <c r="H137" s="3" t="s">
        <v>34</v>
      </c>
      <c r="I137" s="3" t="s">
        <v>402</v>
      </c>
      <c r="J137" s="154" t="s">
        <v>559</v>
      </c>
      <c r="K137" s="154" t="s">
        <v>446</v>
      </c>
      <c r="L137" s="3" t="s">
        <v>394</v>
      </c>
      <c r="M137" s="7">
        <v>2119.14</v>
      </c>
      <c r="N137" s="7">
        <v>55521.05</v>
      </c>
      <c r="O137" s="3" t="s">
        <v>491</v>
      </c>
      <c r="P137" t="s">
        <v>491</v>
      </c>
      <c r="Q137" t="s">
        <v>208</v>
      </c>
    </row>
    <row r="138" spans="1:17" x14ac:dyDescent="0.3">
      <c r="A138" s="2"/>
      <c r="B138" s="6">
        <v>46099</v>
      </c>
      <c r="C138" s="6">
        <v>46112</v>
      </c>
      <c r="D138" s="3" t="s">
        <v>395</v>
      </c>
      <c r="E138" s="154" t="s">
        <v>446</v>
      </c>
      <c r="F138" s="3" t="s">
        <v>99</v>
      </c>
      <c r="G138" s="153">
        <v>67110</v>
      </c>
      <c r="H138" s="3" t="s">
        <v>251</v>
      </c>
      <c r="I138" s="3" t="s">
        <v>398</v>
      </c>
      <c r="J138" s="154" t="s">
        <v>523</v>
      </c>
      <c r="K138" s="154" t="s">
        <v>446</v>
      </c>
      <c r="L138" s="3" t="s">
        <v>394</v>
      </c>
      <c r="M138" s="7">
        <v>-115.31</v>
      </c>
      <c r="N138" s="7">
        <v>5454.9</v>
      </c>
      <c r="O138" s="3" t="s">
        <v>491</v>
      </c>
      <c r="P138" t="s">
        <v>126</v>
      </c>
      <c r="Q138" t="s">
        <v>216</v>
      </c>
    </row>
    <row r="139" spans="1:17" x14ac:dyDescent="0.3">
      <c r="A139" s="2"/>
      <c r="B139" s="6">
        <v>46100</v>
      </c>
      <c r="C139" s="6">
        <v>46112</v>
      </c>
      <c r="D139" s="3" t="s">
        <v>397</v>
      </c>
      <c r="E139" s="154" t="s">
        <v>446</v>
      </c>
      <c r="F139" s="3" t="s">
        <v>68</v>
      </c>
      <c r="G139" s="153">
        <v>63120</v>
      </c>
      <c r="H139" s="3" t="s">
        <v>251</v>
      </c>
      <c r="I139" s="3" t="s">
        <v>406</v>
      </c>
      <c r="J139" s="154" t="s">
        <v>541</v>
      </c>
      <c r="K139" s="154" t="s">
        <v>446</v>
      </c>
      <c r="L139" s="3" t="s">
        <v>163</v>
      </c>
      <c r="M139" s="7">
        <v>6900</v>
      </c>
      <c r="N139" s="7">
        <v>21700</v>
      </c>
      <c r="O139" s="3" t="s">
        <v>252</v>
      </c>
      <c r="P139" t="s">
        <v>219</v>
      </c>
      <c r="Q139" t="s">
        <v>216</v>
      </c>
    </row>
    <row r="140" spans="1:17" x14ac:dyDescent="0.3">
      <c r="A140" s="2"/>
      <c r="B140" s="6">
        <v>46100</v>
      </c>
      <c r="C140" s="6">
        <v>46112</v>
      </c>
      <c r="D140" s="3" t="s">
        <v>251</v>
      </c>
      <c r="E140" s="154" t="s">
        <v>446</v>
      </c>
      <c r="F140" s="3" t="s">
        <v>94</v>
      </c>
      <c r="G140" s="153">
        <v>66140</v>
      </c>
      <c r="H140" s="3" t="s">
        <v>251</v>
      </c>
      <c r="I140" s="3" t="s">
        <v>405</v>
      </c>
      <c r="J140" s="154" t="s">
        <v>533</v>
      </c>
      <c r="K140" s="154" t="s">
        <v>446</v>
      </c>
      <c r="L140" s="3" t="s">
        <v>545</v>
      </c>
      <c r="M140" s="7">
        <v>27.39</v>
      </c>
      <c r="N140" s="7">
        <v>463.81</v>
      </c>
      <c r="O140" s="3" t="s">
        <v>252</v>
      </c>
      <c r="P140" t="s">
        <v>222</v>
      </c>
      <c r="Q140" t="s">
        <v>216</v>
      </c>
    </row>
    <row r="141" spans="1:17" x14ac:dyDescent="0.3">
      <c r="A141" s="2"/>
      <c r="B141" s="6">
        <v>46101</v>
      </c>
      <c r="C141" s="6">
        <v>46112</v>
      </c>
      <c r="D141" s="3" t="s">
        <v>397</v>
      </c>
      <c r="E141" s="154" t="s">
        <v>446</v>
      </c>
      <c r="F141" s="3" t="s">
        <v>552</v>
      </c>
      <c r="G141" s="153">
        <v>51100</v>
      </c>
      <c r="H141" s="3" t="s">
        <v>37</v>
      </c>
      <c r="I141" s="3" t="s">
        <v>403</v>
      </c>
      <c r="J141" s="154" t="s">
        <v>573</v>
      </c>
      <c r="K141" s="154" t="s">
        <v>446</v>
      </c>
      <c r="L141" s="3" t="s">
        <v>163</v>
      </c>
      <c r="M141" s="7">
        <v>83.7</v>
      </c>
      <c r="N141" s="7">
        <v>30538.87</v>
      </c>
      <c r="O141" s="3" t="s">
        <v>491</v>
      </c>
      <c r="P141" t="s">
        <v>550</v>
      </c>
      <c r="Q141" t="s">
        <v>211</v>
      </c>
    </row>
    <row r="142" spans="1:17" x14ac:dyDescent="0.3">
      <c r="A142" s="2"/>
      <c r="B142" s="6">
        <v>46101</v>
      </c>
      <c r="C142" s="6">
        <v>46112</v>
      </c>
      <c r="D142" s="3" t="s">
        <v>397</v>
      </c>
      <c r="E142" s="154" t="s">
        <v>446</v>
      </c>
      <c r="F142" s="3" t="s">
        <v>552</v>
      </c>
      <c r="G142" s="153">
        <v>51100</v>
      </c>
      <c r="H142" s="3" t="s">
        <v>37</v>
      </c>
      <c r="I142" s="3" t="s">
        <v>403</v>
      </c>
      <c r="J142" s="154" t="s">
        <v>574</v>
      </c>
      <c r="K142" s="154" t="s">
        <v>446</v>
      </c>
      <c r="L142" s="3" t="s">
        <v>163</v>
      </c>
      <c r="M142" s="7">
        <v>100</v>
      </c>
      <c r="N142" s="7">
        <v>30638.87</v>
      </c>
      <c r="O142" s="3" t="s">
        <v>491</v>
      </c>
      <c r="P142" t="s">
        <v>550</v>
      </c>
      <c r="Q142" t="s">
        <v>211</v>
      </c>
    </row>
    <row r="143" spans="1:17" x14ac:dyDescent="0.3">
      <c r="A143" s="2"/>
      <c r="B143" s="6">
        <v>46101</v>
      </c>
      <c r="C143" s="6">
        <v>46112</v>
      </c>
      <c r="D143" s="3" t="s">
        <v>397</v>
      </c>
      <c r="E143" s="154" t="s">
        <v>446</v>
      </c>
      <c r="F143" s="3" t="s">
        <v>552</v>
      </c>
      <c r="G143" s="153">
        <v>51100</v>
      </c>
      <c r="H143" s="3" t="s">
        <v>37</v>
      </c>
      <c r="I143" s="3" t="s">
        <v>403</v>
      </c>
      <c r="J143" s="154" t="s">
        <v>575</v>
      </c>
      <c r="K143" s="154" t="s">
        <v>446</v>
      </c>
      <c r="L143" s="3" t="s">
        <v>163</v>
      </c>
      <c r="M143" s="7">
        <v>100</v>
      </c>
      <c r="N143" s="7">
        <v>30738.87</v>
      </c>
      <c r="O143" s="3" t="s">
        <v>491</v>
      </c>
      <c r="P143" t="s">
        <v>550</v>
      </c>
      <c r="Q143" t="s">
        <v>211</v>
      </c>
    </row>
    <row r="144" spans="1:17" x14ac:dyDescent="0.3">
      <c r="A144" s="2"/>
      <c r="B144" s="6">
        <v>46101</v>
      </c>
      <c r="C144" s="6">
        <v>46112</v>
      </c>
      <c r="D144" s="3" t="s">
        <v>397</v>
      </c>
      <c r="E144" s="154" t="s">
        <v>446</v>
      </c>
      <c r="F144" s="3" t="s">
        <v>552</v>
      </c>
      <c r="G144" s="153">
        <v>51100</v>
      </c>
      <c r="H144" s="3" t="s">
        <v>37</v>
      </c>
      <c r="I144" s="3" t="s">
        <v>403</v>
      </c>
      <c r="J144" s="154" t="s">
        <v>573</v>
      </c>
      <c r="K144" s="154" t="s">
        <v>446</v>
      </c>
      <c r="L144" s="3" t="s">
        <v>163</v>
      </c>
      <c r="M144" s="7">
        <v>100</v>
      </c>
      <c r="N144" s="7">
        <v>30838.87</v>
      </c>
      <c r="O144" s="3" t="s">
        <v>491</v>
      </c>
      <c r="P144" t="s">
        <v>550</v>
      </c>
      <c r="Q144" t="s">
        <v>211</v>
      </c>
    </row>
    <row r="145" spans="1:17" x14ac:dyDescent="0.3">
      <c r="A145" s="2"/>
      <c r="B145" s="6">
        <v>46101</v>
      </c>
      <c r="C145" s="6">
        <v>46112</v>
      </c>
      <c r="D145" s="3" t="s">
        <v>397</v>
      </c>
      <c r="E145" s="154" t="s">
        <v>446</v>
      </c>
      <c r="F145" s="3" t="s">
        <v>552</v>
      </c>
      <c r="G145" s="153">
        <v>51100</v>
      </c>
      <c r="H145" s="3" t="s">
        <v>37</v>
      </c>
      <c r="I145" s="3" t="s">
        <v>403</v>
      </c>
      <c r="J145" s="154" t="s">
        <v>574</v>
      </c>
      <c r="K145" s="154" t="s">
        <v>446</v>
      </c>
      <c r="L145" s="3" t="s">
        <v>163</v>
      </c>
      <c r="M145" s="7">
        <v>100</v>
      </c>
      <c r="N145" s="7">
        <v>30938.87</v>
      </c>
      <c r="O145" s="3" t="s">
        <v>491</v>
      </c>
      <c r="P145" t="s">
        <v>550</v>
      </c>
      <c r="Q145" t="s">
        <v>211</v>
      </c>
    </row>
    <row r="146" spans="1:17" x14ac:dyDescent="0.3">
      <c r="A146" s="2"/>
      <c r="B146" s="6">
        <v>46101</v>
      </c>
      <c r="C146" s="6">
        <v>46112</v>
      </c>
      <c r="D146" s="3" t="s">
        <v>397</v>
      </c>
      <c r="E146" s="154" t="s">
        <v>446</v>
      </c>
      <c r="F146" s="3" t="s">
        <v>552</v>
      </c>
      <c r="G146" s="153">
        <v>51100</v>
      </c>
      <c r="H146" s="3" t="s">
        <v>37</v>
      </c>
      <c r="I146" s="3" t="s">
        <v>403</v>
      </c>
      <c r="J146" s="154" t="s">
        <v>575</v>
      </c>
      <c r="K146" s="154" t="s">
        <v>446</v>
      </c>
      <c r="L146" s="3" t="s">
        <v>163</v>
      </c>
      <c r="M146" s="7">
        <v>45.52</v>
      </c>
      <c r="N146" s="7">
        <v>30984.39</v>
      </c>
      <c r="O146" s="3" t="s">
        <v>491</v>
      </c>
      <c r="P146" t="s">
        <v>550</v>
      </c>
      <c r="Q146" t="s">
        <v>211</v>
      </c>
    </row>
    <row r="147" spans="1:17" x14ac:dyDescent="0.3">
      <c r="A147" s="2"/>
      <c r="B147" s="6">
        <v>46101</v>
      </c>
      <c r="C147" s="6">
        <v>46112</v>
      </c>
      <c r="D147" s="3" t="s">
        <v>397</v>
      </c>
      <c r="E147" s="154" t="s">
        <v>446</v>
      </c>
      <c r="F147" s="3" t="s">
        <v>552</v>
      </c>
      <c r="G147" s="153">
        <v>51100</v>
      </c>
      <c r="H147" s="3" t="s">
        <v>37</v>
      </c>
      <c r="I147" s="3" t="s">
        <v>403</v>
      </c>
      <c r="J147" s="154" t="s">
        <v>573</v>
      </c>
      <c r="K147" s="154" t="s">
        <v>446</v>
      </c>
      <c r="L147" s="3" t="s">
        <v>163</v>
      </c>
      <c r="M147" s="7">
        <v>150</v>
      </c>
      <c r="N147" s="7">
        <v>31134.39</v>
      </c>
      <c r="O147" s="3" t="s">
        <v>491</v>
      </c>
      <c r="P147" t="s">
        <v>550</v>
      </c>
      <c r="Q147" t="s">
        <v>211</v>
      </c>
    </row>
    <row r="148" spans="1:17" x14ac:dyDescent="0.3">
      <c r="A148" s="2"/>
      <c r="B148" s="6">
        <v>46101</v>
      </c>
      <c r="C148" s="6">
        <v>46112</v>
      </c>
      <c r="D148" s="3" t="s">
        <v>397</v>
      </c>
      <c r="E148" s="154" t="s">
        <v>446</v>
      </c>
      <c r="F148" s="3" t="s">
        <v>552</v>
      </c>
      <c r="G148" s="153">
        <v>51100</v>
      </c>
      <c r="H148" s="3" t="s">
        <v>37</v>
      </c>
      <c r="I148" s="3" t="s">
        <v>403</v>
      </c>
      <c r="J148" s="154" t="s">
        <v>574</v>
      </c>
      <c r="K148" s="154" t="s">
        <v>446</v>
      </c>
      <c r="L148" s="3" t="s">
        <v>163</v>
      </c>
      <c r="M148" s="7">
        <v>83.7</v>
      </c>
      <c r="N148" s="7">
        <v>31218.09</v>
      </c>
      <c r="O148" s="3" t="s">
        <v>491</v>
      </c>
      <c r="P148" t="s">
        <v>550</v>
      </c>
      <c r="Q148" t="s">
        <v>211</v>
      </c>
    </row>
    <row r="149" spans="1:17" x14ac:dyDescent="0.3">
      <c r="A149" s="2"/>
      <c r="B149" s="6">
        <v>46101</v>
      </c>
      <c r="C149" s="6">
        <v>46112</v>
      </c>
      <c r="D149" s="3" t="s">
        <v>397</v>
      </c>
      <c r="E149" s="154" t="s">
        <v>446</v>
      </c>
      <c r="F149" s="3" t="s">
        <v>552</v>
      </c>
      <c r="G149" s="153">
        <v>51100</v>
      </c>
      <c r="H149" s="3" t="s">
        <v>37</v>
      </c>
      <c r="I149" s="3" t="s">
        <v>403</v>
      </c>
      <c r="J149" s="154" t="s">
        <v>575</v>
      </c>
      <c r="K149" s="154" t="s">
        <v>446</v>
      </c>
      <c r="L149" s="3" t="s">
        <v>163</v>
      </c>
      <c r="M149" s="7">
        <v>300</v>
      </c>
      <c r="N149" s="7">
        <v>31518.09</v>
      </c>
      <c r="O149" s="3" t="s">
        <v>491</v>
      </c>
      <c r="P149" t="s">
        <v>550</v>
      </c>
      <c r="Q149" t="s">
        <v>211</v>
      </c>
    </row>
    <row r="150" spans="1:17" x14ac:dyDescent="0.3">
      <c r="A150" s="2"/>
      <c r="B150" s="6">
        <v>46101</v>
      </c>
      <c r="C150" s="6">
        <v>46112</v>
      </c>
      <c r="D150" s="3" t="s">
        <v>397</v>
      </c>
      <c r="E150" s="154" t="s">
        <v>446</v>
      </c>
      <c r="F150" s="3" t="s">
        <v>552</v>
      </c>
      <c r="G150" s="153">
        <v>51100</v>
      </c>
      <c r="H150" s="3" t="s">
        <v>37</v>
      </c>
      <c r="I150" s="3" t="s">
        <v>403</v>
      </c>
      <c r="J150" s="154" t="s">
        <v>573</v>
      </c>
      <c r="K150" s="154" t="s">
        <v>446</v>
      </c>
      <c r="L150" s="3" t="s">
        <v>163</v>
      </c>
      <c r="M150" s="7">
        <v>91.96</v>
      </c>
      <c r="N150" s="7">
        <v>31610.05</v>
      </c>
      <c r="O150" s="3" t="s">
        <v>491</v>
      </c>
      <c r="P150" t="s">
        <v>550</v>
      </c>
      <c r="Q150" t="s">
        <v>211</v>
      </c>
    </row>
    <row r="151" spans="1:17" x14ac:dyDescent="0.3">
      <c r="A151" s="2"/>
      <c r="B151" s="6">
        <v>46101</v>
      </c>
      <c r="C151" s="6">
        <v>46112</v>
      </c>
      <c r="D151" s="3" t="s">
        <v>395</v>
      </c>
      <c r="E151" s="154" t="s">
        <v>446</v>
      </c>
      <c r="F151" s="3" t="s">
        <v>91</v>
      </c>
      <c r="G151" s="153">
        <v>66110</v>
      </c>
      <c r="H151" s="3" t="s">
        <v>251</v>
      </c>
      <c r="I151" s="3" t="s">
        <v>128</v>
      </c>
      <c r="J151" s="154" t="s">
        <v>534</v>
      </c>
      <c r="K151" s="154" t="s">
        <v>446</v>
      </c>
      <c r="L151" s="3" t="s">
        <v>394</v>
      </c>
      <c r="M151" s="7">
        <v>-21.9</v>
      </c>
      <c r="N151" s="7">
        <v>1096.45</v>
      </c>
      <c r="O151" s="3" t="s">
        <v>252</v>
      </c>
      <c r="P151" t="s">
        <v>222</v>
      </c>
      <c r="Q151" t="s">
        <v>216</v>
      </c>
    </row>
    <row r="152" spans="1:17" x14ac:dyDescent="0.3">
      <c r="A152" s="2"/>
      <c r="B152" s="6">
        <v>46101</v>
      </c>
      <c r="C152" s="6">
        <v>46112</v>
      </c>
      <c r="D152" s="3" t="s">
        <v>395</v>
      </c>
      <c r="E152" s="154" t="s">
        <v>446</v>
      </c>
      <c r="F152" s="3" t="s">
        <v>94</v>
      </c>
      <c r="G152" s="153">
        <v>66140</v>
      </c>
      <c r="H152" s="3" t="s">
        <v>251</v>
      </c>
      <c r="I152" s="3" t="s">
        <v>405</v>
      </c>
      <c r="J152" s="154" t="s">
        <v>534</v>
      </c>
      <c r="K152" s="154" t="s">
        <v>446</v>
      </c>
      <c r="L152" s="3" t="s">
        <v>394</v>
      </c>
      <c r="M152" s="7">
        <v>21.9</v>
      </c>
      <c r="N152" s="7">
        <v>485.71</v>
      </c>
      <c r="O152" s="3" t="s">
        <v>252</v>
      </c>
      <c r="P152" t="s">
        <v>222</v>
      </c>
      <c r="Q152" t="s">
        <v>216</v>
      </c>
    </row>
    <row r="153" spans="1:17" x14ac:dyDescent="0.3">
      <c r="A153" s="2"/>
      <c r="B153" s="6">
        <v>46103</v>
      </c>
      <c r="C153" s="6">
        <v>46112</v>
      </c>
      <c r="D153" s="3" t="s">
        <v>251</v>
      </c>
      <c r="E153" s="154" t="s">
        <v>446</v>
      </c>
      <c r="F153" s="3" t="s">
        <v>94</v>
      </c>
      <c r="G153" s="153">
        <v>66140</v>
      </c>
      <c r="H153" s="3" t="s">
        <v>251</v>
      </c>
      <c r="I153" s="3" t="s">
        <v>405</v>
      </c>
      <c r="J153" s="154" t="s">
        <v>534</v>
      </c>
      <c r="K153" s="154" t="s">
        <v>446</v>
      </c>
      <c r="L153" s="3" t="s">
        <v>545</v>
      </c>
      <c r="M153" s="7">
        <v>16.420000000000002</v>
      </c>
      <c r="N153" s="7">
        <v>502.13</v>
      </c>
      <c r="O153" s="3" t="s">
        <v>252</v>
      </c>
      <c r="P153" t="s">
        <v>222</v>
      </c>
      <c r="Q153" t="s">
        <v>216</v>
      </c>
    </row>
    <row r="154" spans="1:17" x14ac:dyDescent="0.3">
      <c r="A154" s="2"/>
      <c r="B154" s="6">
        <v>46103</v>
      </c>
      <c r="C154" s="6">
        <v>46112</v>
      </c>
      <c r="D154" s="3" t="s">
        <v>251</v>
      </c>
      <c r="E154" s="154" t="s">
        <v>446</v>
      </c>
      <c r="F154" s="3" t="s">
        <v>110</v>
      </c>
      <c r="G154" s="153">
        <v>67126</v>
      </c>
      <c r="H154" s="3" t="s">
        <v>251</v>
      </c>
      <c r="I154" s="3" t="s">
        <v>396</v>
      </c>
      <c r="J154" s="154" t="s">
        <v>538</v>
      </c>
      <c r="K154" s="154" t="s">
        <v>446</v>
      </c>
      <c r="L154" s="3" t="s">
        <v>545</v>
      </c>
      <c r="M154" s="7">
        <v>8.0500000000000007</v>
      </c>
      <c r="N154" s="7">
        <v>78.739999999999995</v>
      </c>
      <c r="O154" s="3" t="s">
        <v>252</v>
      </c>
      <c r="P154" t="s">
        <v>217</v>
      </c>
      <c r="Q154" t="s">
        <v>216</v>
      </c>
    </row>
    <row r="155" spans="1:17" x14ac:dyDescent="0.3">
      <c r="A155" s="2"/>
      <c r="B155" s="6">
        <v>46104</v>
      </c>
      <c r="C155" s="6">
        <v>46112</v>
      </c>
      <c r="D155" s="3" t="s">
        <v>251</v>
      </c>
      <c r="E155" s="154" t="s">
        <v>446</v>
      </c>
      <c r="F155" s="3" t="s">
        <v>100</v>
      </c>
      <c r="G155" s="153">
        <v>67111</v>
      </c>
      <c r="H155" s="3" t="s">
        <v>251</v>
      </c>
      <c r="I155" s="3" t="s">
        <v>398</v>
      </c>
      <c r="J155" s="154" t="s">
        <v>538</v>
      </c>
      <c r="K155" s="154" t="s">
        <v>446</v>
      </c>
      <c r="L155" s="3" t="s">
        <v>545</v>
      </c>
      <c r="M155" s="7">
        <v>49.95</v>
      </c>
      <c r="N155" s="7">
        <v>49.95</v>
      </c>
      <c r="O155" s="3" t="s">
        <v>252</v>
      </c>
      <c r="P155" t="s">
        <v>217</v>
      </c>
      <c r="Q155" t="s">
        <v>216</v>
      </c>
    </row>
    <row r="156" spans="1:17" x14ac:dyDescent="0.3">
      <c r="A156" s="2"/>
      <c r="B156" s="6">
        <v>46105</v>
      </c>
      <c r="C156" s="6">
        <v>46112</v>
      </c>
      <c r="D156" s="3" t="s">
        <v>397</v>
      </c>
      <c r="E156" s="154" t="s">
        <v>446</v>
      </c>
      <c r="F156" s="3" t="s">
        <v>552</v>
      </c>
      <c r="G156" s="153">
        <v>51100</v>
      </c>
      <c r="H156" s="3" t="s">
        <v>37</v>
      </c>
      <c r="I156" s="3" t="s">
        <v>403</v>
      </c>
      <c r="J156" s="154" t="s">
        <v>574</v>
      </c>
      <c r="K156" s="154" t="s">
        <v>446</v>
      </c>
      <c r="L156" s="3" t="s">
        <v>163</v>
      </c>
      <c r="M156" s="7">
        <v>89.46</v>
      </c>
      <c r="N156" s="7">
        <v>31699.51</v>
      </c>
      <c r="O156" s="3" t="s">
        <v>491</v>
      </c>
      <c r="P156" t="s">
        <v>550</v>
      </c>
      <c r="Q156" t="s">
        <v>211</v>
      </c>
    </row>
    <row r="157" spans="1:17" x14ac:dyDescent="0.3">
      <c r="A157" s="2"/>
      <c r="B157" s="6">
        <v>46105</v>
      </c>
      <c r="C157" s="6">
        <v>46112</v>
      </c>
      <c r="D157" s="3" t="s">
        <v>397</v>
      </c>
      <c r="E157" s="154" t="s">
        <v>446</v>
      </c>
      <c r="F157" s="3" t="s">
        <v>552</v>
      </c>
      <c r="G157" s="153">
        <v>51100</v>
      </c>
      <c r="H157" s="3" t="s">
        <v>37</v>
      </c>
      <c r="I157" s="3" t="s">
        <v>403</v>
      </c>
      <c r="J157" s="154" t="s">
        <v>575</v>
      </c>
      <c r="K157" s="154" t="s">
        <v>446</v>
      </c>
      <c r="L157" s="3" t="s">
        <v>163</v>
      </c>
      <c r="M157" s="7">
        <v>251.62</v>
      </c>
      <c r="N157" s="7">
        <v>31951.13</v>
      </c>
      <c r="O157" s="3" t="s">
        <v>491</v>
      </c>
      <c r="P157" t="s">
        <v>550</v>
      </c>
      <c r="Q157" t="s">
        <v>211</v>
      </c>
    </row>
    <row r="158" spans="1:17" x14ac:dyDescent="0.3">
      <c r="A158" s="2"/>
      <c r="B158" s="6">
        <v>46105</v>
      </c>
      <c r="C158" s="6">
        <v>46112</v>
      </c>
      <c r="D158" s="3" t="s">
        <v>397</v>
      </c>
      <c r="E158" s="154" t="s">
        <v>446</v>
      </c>
      <c r="F158" s="3" t="s">
        <v>552</v>
      </c>
      <c r="G158" s="153">
        <v>51100</v>
      </c>
      <c r="H158" s="3" t="s">
        <v>37</v>
      </c>
      <c r="I158" s="3" t="s">
        <v>403</v>
      </c>
      <c r="J158" s="154" t="s">
        <v>573</v>
      </c>
      <c r="K158" s="154" t="s">
        <v>446</v>
      </c>
      <c r="L158" s="3" t="s">
        <v>163</v>
      </c>
      <c r="M158" s="7">
        <v>89.46</v>
      </c>
      <c r="N158" s="7">
        <v>32040.59</v>
      </c>
      <c r="O158" s="3" t="s">
        <v>491</v>
      </c>
      <c r="P158" t="s">
        <v>550</v>
      </c>
      <c r="Q158" t="s">
        <v>211</v>
      </c>
    </row>
    <row r="159" spans="1:17" x14ac:dyDescent="0.3">
      <c r="A159" s="2"/>
      <c r="B159" s="6">
        <v>46105</v>
      </c>
      <c r="C159" s="6">
        <v>46112</v>
      </c>
      <c r="D159" s="3" t="s">
        <v>251</v>
      </c>
      <c r="E159" s="154" t="s">
        <v>446</v>
      </c>
      <c r="F159" s="3" t="s">
        <v>543</v>
      </c>
      <c r="G159" s="153">
        <v>53200</v>
      </c>
      <c r="H159" s="3" t="s">
        <v>37</v>
      </c>
      <c r="I159" s="3" t="s">
        <v>401</v>
      </c>
      <c r="J159" s="154" t="s">
        <v>528</v>
      </c>
      <c r="K159" s="154" t="s">
        <v>446</v>
      </c>
      <c r="L159" s="3" t="s">
        <v>554</v>
      </c>
      <c r="M159" s="7">
        <v>1615.61</v>
      </c>
      <c r="N159" s="7">
        <v>20768.95</v>
      </c>
      <c r="O159" s="3" t="s">
        <v>492</v>
      </c>
      <c r="P159" t="s">
        <v>212</v>
      </c>
      <c r="Q159" t="s">
        <v>211</v>
      </c>
    </row>
    <row r="160" spans="1:17" x14ac:dyDescent="0.3">
      <c r="A160" s="2"/>
      <c r="B160" s="6">
        <v>46105</v>
      </c>
      <c r="C160" s="6">
        <v>46112</v>
      </c>
      <c r="D160" s="3" t="s">
        <v>251</v>
      </c>
      <c r="E160" s="154" t="s">
        <v>446</v>
      </c>
      <c r="F160" s="3" t="s">
        <v>543</v>
      </c>
      <c r="G160" s="153">
        <v>53200</v>
      </c>
      <c r="H160" s="3" t="s">
        <v>37</v>
      </c>
      <c r="I160" s="3" t="s">
        <v>401</v>
      </c>
      <c r="J160" s="154" t="s">
        <v>521</v>
      </c>
      <c r="K160" s="154" t="s">
        <v>446</v>
      </c>
      <c r="L160" s="3" t="s">
        <v>554</v>
      </c>
      <c r="M160" s="7">
        <v>1615.61</v>
      </c>
      <c r="N160" s="7">
        <v>22384.560000000001</v>
      </c>
      <c r="O160" s="3" t="s">
        <v>491</v>
      </c>
      <c r="P160" t="s">
        <v>212</v>
      </c>
      <c r="Q160" t="s">
        <v>211</v>
      </c>
    </row>
    <row r="161" spans="1:17" x14ac:dyDescent="0.3">
      <c r="A161" s="2"/>
      <c r="B161" s="6">
        <v>46105</v>
      </c>
      <c r="C161" s="6">
        <v>46112</v>
      </c>
      <c r="D161" s="3" t="s">
        <v>251</v>
      </c>
      <c r="E161" s="154" t="s">
        <v>446</v>
      </c>
      <c r="F161" s="3" t="s">
        <v>544</v>
      </c>
      <c r="G161" s="153">
        <v>61200</v>
      </c>
      <c r="H161" s="3" t="s">
        <v>251</v>
      </c>
      <c r="I161" s="3" t="s">
        <v>399</v>
      </c>
      <c r="J161" s="154" t="s">
        <v>531</v>
      </c>
      <c r="K161" s="154" t="s">
        <v>446</v>
      </c>
      <c r="L161" s="3" t="s">
        <v>554</v>
      </c>
      <c r="M161" s="7">
        <v>3231.23</v>
      </c>
      <c r="N161" s="7">
        <v>14709.84</v>
      </c>
      <c r="O161" s="3" t="s">
        <v>252</v>
      </c>
      <c r="P161" t="s">
        <v>218</v>
      </c>
      <c r="Q161" t="s">
        <v>216</v>
      </c>
    </row>
    <row r="162" spans="1:17" x14ac:dyDescent="0.3">
      <c r="A162" s="2"/>
      <c r="B162" s="6">
        <v>46105</v>
      </c>
      <c r="C162" s="6">
        <v>46112</v>
      </c>
      <c r="D162" s="3" t="s">
        <v>251</v>
      </c>
      <c r="E162" s="154" t="s">
        <v>446</v>
      </c>
      <c r="F162" s="3" t="s">
        <v>99</v>
      </c>
      <c r="G162" s="153">
        <v>67110</v>
      </c>
      <c r="H162" s="3" t="s">
        <v>251</v>
      </c>
      <c r="I162" s="3" t="s">
        <v>398</v>
      </c>
      <c r="J162" s="154" t="s">
        <v>572</v>
      </c>
      <c r="K162" s="154" t="s">
        <v>446</v>
      </c>
      <c r="L162" s="3" t="s">
        <v>545</v>
      </c>
      <c r="M162" s="7">
        <v>64.47</v>
      </c>
      <c r="N162" s="7">
        <v>5519.37</v>
      </c>
      <c r="O162" s="3" t="s">
        <v>252</v>
      </c>
      <c r="P162" t="s">
        <v>126</v>
      </c>
      <c r="Q162" t="s">
        <v>216</v>
      </c>
    </row>
    <row r="163" spans="1:17" x14ac:dyDescent="0.3">
      <c r="A163" s="2"/>
      <c r="B163" s="6">
        <v>46105</v>
      </c>
      <c r="C163" s="6">
        <v>46112</v>
      </c>
      <c r="D163" s="3" t="s">
        <v>251</v>
      </c>
      <c r="E163" s="154" t="s">
        <v>446</v>
      </c>
      <c r="F163" s="3" t="s">
        <v>103</v>
      </c>
      <c r="G163" s="153">
        <v>67117</v>
      </c>
      <c r="H163" s="3" t="s">
        <v>251</v>
      </c>
      <c r="I163" s="3" t="s">
        <v>404</v>
      </c>
      <c r="J163" s="154" t="s">
        <v>524</v>
      </c>
      <c r="K163" s="154" t="s">
        <v>446</v>
      </c>
      <c r="L163" s="3" t="s">
        <v>545</v>
      </c>
      <c r="M163" s="7">
        <v>160</v>
      </c>
      <c r="N163" s="7">
        <v>340</v>
      </c>
      <c r="O163" s="3" t="s">
        <v>491</v>
      </c>
      <c r="P163" t="s">
        <v>217</v>
      </c>
      <c r="Q163" t="s">
        <v>216</v>
      </c>
    </row>
    <row r="164" spans="1:17" x14ac:dyDescent="0.3">
      <c r="A164" s="2"/>
      <c r="B164" s="6">
        <v>46105</v>
      </c>
      <c r="C164" s="6">
        <v>46112</v>
      </c>
      <c r="D164" s="3" t="s">
        <v>251</v>
      </c>
      <c r="E164" s="154" t="s">
        <v>446</v>
      </c>
      <c r="F164" s="3" t="s">
        <v>103</v>
      </c>
      <c r="G164" s="153">
        <v>67117</v>
      </c>
      <c r="H164" s="3" t="s">
        <v>251</v>
      </c>
      <c r="I164" s="3" t="s">
        <v>404</v>
      </c>
      <c r="J164" s="154" t="s">
        <v>524</v>
      </c>
      <c r="K164" s="154" t="s">
        <v>446</v>
      </c>
      <c r="L164" s="3" t="s">
        <v>545</v>
      </c>
      <c r="M164" s="7">
        <v>160</v>
      </c>
      <c r="N164" s="7">
        <v>500</v>
      </c>
      <c r="O164" s="3" t="s">
        <v>491</v>
      </c>
      <c r="P164" t="s">
        <v>217</v>
      </c>
      <c r="Q164" t="s">
        <v>216</v>
      </c>
    </row>
    <row r="165" spans="1:17" x14ac:dyDescent="0.3">
      <c r="A165" s="2"/>
      <c r="B165" s="6">
        <v>46107</v>
      </c>
      <c r="C165" s="6">
        <v>46112</v>
      </c>
      <c r="D165" s="3" t="s">
        <v>251</v>
      </c>
      <c r="E165" s="154" t="s">
        <v>446</v>
      </c>
      <c r="F165" s="3" t="s">
        <v>91</v>
      </c>
      <c r="G165" s="153">
        <v>66110</v>
      </c>
      <c r="H165" s="3" t="s">
        <v>251</v>
      </c>
      <c r="I165" s="3" t="s">
        <v>128</v>
      </c>
      <c r="J165" s="154" t="s">
        <v>534</v>
      </c>
      <c r="K165" s="154" t="s">
        <v>446</v>
      </c>
      <c r="L165" s="3" t="s">
        <v>545</v>
      </c>
      <c r="M165" s="7">
        <v>929.6</v>
      </c>
      <c r="N165" s="7">
        <v>2026.05</v>
      </c>
      <c r="O165" s="3" t="s">
        <v>252</v>
      </c>
      <c r="P165" t="s">
        <v>222</v>
      </c>
      <c r="Q165" t="s">
        <v>216</v>
      </c>
    </row>
    <row r="166" spans="1:17" x14ac:dyDescent="0.3">
      <c r="A166" s="2"/>
      <c r="B166" s="6">
        <v>46107</v>
      </c>
      <c r="C166" s="6">
        <v>46112</v>
      </c>
      <c r="D166" s="3" t="s">
        <v>251</v>
      </c>
      <c r="E166" s="154" t="s">
        <v>446</v>
      </c>
      <c r="F166" s="3" t="s">
        <v>99</v>
      </c>
      <c r="G166" s="153">
        <v>67110</v>
      </c>
      <c r="H166" s="3" t="s">
        <v>251</v>
      </c>
      <c r="I166" s="3" t="s">
        <v>398</v>
      </c>
      <c r="J166" s="154" t="s">
        <v>570</v>
      </c>
      <c r="K166" s="154" t="s">
        <v>446</v>
      </c>
      <c r="L166" s="3" t="s">
        <v>545</v>
      </c>
      <c r="M166" s="7">
        <v>93.01</v>
      </c>
      <c r="N166" s="7">
        <v>5612.38</v>
      </c>
      <c r="O166" s="3" t="s">
        <v>252</v>
      </c>
      <c r="P166" t="s">
        <v>126</v>
      </c>
      <c r="Q166" t="s">
        <v>216</v>
      </c>
    </row>
    <row r="167" spans="1:17" x14ac:dyDescent="0.3">
      <c r="A167" s="2"/>
      <c r="B167" s="6">
        <v>46108</v>
      </c>
      <c r="C167" s="6">
        <v>46112</v>
      </c>
      <c r="D167" s="3" t="s">
        <v>395</v>
      </c>
      <c r="E167" s="154" t="s">
        <v>446</v>
      </c>
      <c r="F167" s="3" t="s">
        <v>39</v>
      </c>
      <c r="G167" s="153">
        <v>53100</v>
      </c>
      <c r="H167" s="3" t="s">
        <v>37</v>
      </c>
      <c r="I167" s="3" t="s">
        <v>401</v>
      </c>
      <c r="J167" s="154" t="s">
        <v>528</v>
      </c>
      <c r="K167" s="154" t="s">
        <v>446</v>
      </c>
      <c r="L167" s="3" t="s">
        <v>394</v>
      </c>
      <c r="M167" s="7">
        <v>5448.84</v>
      </c>
      <c r="N167" s="7">
        <v>73099.03</v>
      </c>
      <c r="O167" s="3" t="s">
        <v>492</v>
      </c>
      <c r="P167" t="s">
        <v>212</v>
      </c>
      <c r="Q167" t="s">
        <v>211</v>
      </c>
    </row>
    <row r="168" spans="1:17" x14ac:dyDescent="0.3">
      <c r="A168" s="2"/>
      <c r="B168" s="6">
        <v>46108</v>
      </c>
      <c r="C168" s="6">
        <v>46112</v>
      </c>
      <c r="D168" s="3" t="s">
        <v>395</v>
      </c>
      <c r="E168" s="154" t="s">
        <v>446</v>
      </c>
      <c r="F168" s="3" t="s">
        <v>39</v>
      </c>
      <c r="G168" s="153">
        <v>53100</v>
      </c>
      <c r="H168" s="3" t="s">
        <v>37</v>
      </c>
      <c r="I168" s="3" t="s">
        <v>401</v>
      </c>
      <c r="J168" s="154" t="s">
        <v>521</v>
      </c>
      <c r="K168" s="154" t="s">
        <v>446</v>
      </c>
      <c r="L168" s="3" t="s">
        <v>394</v>
      </c>
      <c r="M168" s="7">
        <v>10182.1</v>
      </c>
      <c r="N168" s="7">
        <v>83281.13</v>
      </c>
      <c r="O168" s="3" t="s">
        <v>491</v>
      </c>
      <c r="P168" t="s">
        <v>212</v>
      </c>
      <c r="Q168" t="s">
        <v>211</v>
      </c>
    </row>
    <row r="169" spans="1:17" x14ac:dyDescent="0.3">
      <c r="A169" s="2"/>
      <c r="B169" s="6">
        <v>46108</v>
      </c>
      <c r="C169" s="6">
        <v>46112</v>
      </c>
      <c r="D169" s="3" t="s">
        <v>395</v>
      </c>
      <c r="E169" s="154" t="s">
        <v>446</v>
      </c>
      <c r="F169" s="3" t="s">
        <v>543</v>
      </c>
      <c r="G169" s="153">
        <v>53200</v>
      </c>
      <c r="H169" s="3" t="s">
        <v>37</v>
      </c>
      <c r="I169" s="3" t="s">
        <v>401</v>
      </c>
      <c r="J169" s="154" t="s">
        <v>521</v>
      </c>
      <c r="K169" s="154" t="s">
        <v>446</v>
      </c>
      <c r="L169" s="3" t="s">
        <v>394</v>
      </c>
      <c r="M169" s="7">
        <v>1633.15</v>
      </c>
      <c r="N169" s="7">
        <v>24017.71</v>
      </c>
      <c r="O169" s="3" t="s">
        <v>491</v>
      </c>
      <c r="P169" t="s">
        <v>212</v>
      </c>
      <c r="Q169" t="s">
        <v>211</v>
      </c>
    </row>
    <row r="170" spans="1:17" x14ac:dyDescent="0.3">
      <c r="A170" s="2"/>
      <c r="B170" s="6">
        <v>46108</v>
      </c>
      <c r="C170" s="6">
        <v>46112</v>
      </c>
      <c r="D170" s="3" t="s">
        <v>395</v>
      </c>
      <c r="E170" s="154" t="s">
        <v>446</v>
      </c>
      <c r="F170" s="3" t="s">
        <v>543</v>
      </c>
      <c r="G170" s="153">
        <v>53200</v>
      </c>
      <c r="H170" s="3" t="s">
        <v>37</v>
      </c>
      <c r="I170" s="3" t="s">
        <v>401</v>
      </c>
      <c r="J170" s="154" t="s">
        <v>528</v>
      </c>
      <c r="K170" s="154" t="s">
        <v>446</v>
      </c>
      <c r="L170" s="3" t="s">
        <v>394</v>
      </c>
      <c r="M170" s="7">
        <v>1018.68</v>
      </c>
      <c r="N170" s="7">
        <v>25036.39</v>
      </c>
      <c r="O170" s="3" t="s">
        <v>492</v>
      </c>
      <c r="P170" t="s">
        <v>212</v>
      </c>
      <c r="Q170" t="s">
        <v>211</v>
      </c>
    </row>
    <row r="171" spans="1:17" x14ac:dyDescent="0.3">
      <c r="A171" s="2"/>
      <c r="B171" s="6">
        <v>46108</v>
      </c>
      <c r="C171" s="6">
        <v>46112</v>
      </c>
      <c r="D171" s="3" t="s">
        <v>395</v>
      </c>
      <c r="E171" s="154" t="s">
        <v>446</v>
      </c>
      <c r="F171" s="3" t="s">
        <v>43</v>
      </c>
      <c r="G171" s="153">
        <v>53230</v>
      </c>
      <c r="H171" s="3" t="s">
        <v>37</v>
      </c>
      <c r="I171" s="3" t="s">
        <v>401</v>
      </c>
      <c r="J171" s="154" t="s">
        <v>521</v>
      </c>
      <c r="K171" s="154" t="s">
        <v>446</v>
      </c>
      <c r="L171" s="3" t="s">
        <v>394</v>
      </c>
      <c r="M171" s="7">
        <v>-69.37</v>
      </c>
      <c r="N171" s="7">
        <v>-401.35</v>
      </c>
      <c r="O171" s="3" t="s">
        <v>491</v>
      </c>
      <c r="P171" t="s">
        <v>212</v>
      </c>
      <c r="Q171" t="s">
        <v>211</v>
      </c>
    </row>
    <row r="172" spans="1:17" x14ac:dyDescent="0.3">
      <c r="A172" s="2"/>
      <c r="B172" s="6">
        <v>46108</v>
      </c>
      <c r="C172" s="6">
        <v>46112</v>
      </c>
      <c r="D172" s="3" t="s">
        <v>395</v>
      </c>
      <c r="E172" s="154" t="s">
        <v>446</v>
      </c>
      <c r="F172" s="3" t="s">
        <v>44</v>
      </c>
      <c r="G172" s="153">
        <v>53240</v>
      </c>
      <c r="H172" s="3" t="s">
        <v>37</v>
      </c>
      <c r="I172" s="3" t="s">
        <v>401</v>
      </c>
      <c r="J172" s="154" t="s">
        <v>528</v>
      </c>
      <c r="K172" s="154" t="s">
        <v>446</v>
      </c>
      <c r="L172" s="3" t="s">
        <v>394</v>
      </c>
      <c r="M172" s="7">
        <v>19.62</v>
      </c>
      <c r="N172" s="7">
        <v>291.27999999999997</v>
      </c>
      <c r="O172" s="3" t="s">
        <v>492</v>
      </c>
      <c r="P172" t="s">
        <v>212</v>
      </c>
      <c r="Q172" t="s">
        <v>211</v>
      </c>
    </row>
    <row r="173" spans="1:17" x14ac:dyDescent="0.3">
      <c r="A173" s="2"/>
      <c r="B173" s="6">
        <v>46108</v>
      </c>
      <c r="C173" s="6">
        <v>46112</v>
      </c>
      <c r="D173" s="3" t="s">
        <v>395</v>
      </c>
      <c r="E173" s="154" t="s">
        <v>446</v>
      </c>
      <c r="F173" s="3" t="s">
        <v>44</v>
      </c>
      <c r="G173" s="153">
        <v>53240</v>
      </c>
      <c r="H173" s="3" t="s">
        <v>37</v>
      </c>
      <c r="I173" s="3" t="s">
        <v>401</v>
      </c>
      <c r="J173" s="154" t="s">
        <v>521</v>
      </c>
      <c r="K173" s="154" t="s">
        <v>446</v>
      </c>
      <c r="L173" s="3" t="s">
        <v>394</v>
      </c>
      <c r="M173" s="7">
        <v>30.77</v>
      </c>
      <c r="N173" s="7">
        <v>322.05</v>
      </c>
      <c r="O173" s="3" t="s">
        <v>491</v>
      </c>
      <c r="P173" t="s">
        <v>212</v>
      </c>
      <c r="Q173" t="s">
        <v>211</v>
      </c>
    </row>
    <row r="174" spans="1:17" x14ac:dyDescent="0.3">
      <c r="A174" s="2"/>
      <c r="B174" s="6">
        <v>46108</v>
      </c>
      <c r="C174" s="6">
        <v>46112</v>
      </c>
      <c r="D174" s="3" t="s">
        <v>395</v>
      </c>
      <c r="E174" s="154" t="s">
        <v>446</v>
      </c>
      <c r="F174" s="3" t="s">
        <v>45</v>
      </c>
      <c r="G174" s="153">
        <v>53300</v>
      </c>
      <c r="H174" s="3" t="s">
        <v>37</v>
      </c>
      <c r="I174" s="3" t="s">
        <v>401</v>
      </c>
      <c r="J174" s="154" t="s">
        <v>528</v>
      </c>
      <c r="K174" s="154" t="s">
        <v>446</v>
      </c>
      <c r="L174" s="3" t="s">
        <v>394</v>
      </c>
      <c r="M174" s="7">
        <v>404.82</v>
      </c>
      <c r="N174" s="7">
        <v>6927.26</v>
      </c>
      <c r="O174" s="3" t="s">
        <v>492</v>
      </c>
      <c r="P174" t="s">
        <v>212</v>
      </c>
      <c r="Q174" t="s">
        <v>211</v>
      </c>
    </row>
    <row r="175" spans="1:17" x14ac:dyDescent="0.3">
      <c r="A175" s="2"/>
      <c r="B175" s="6">
        <v>46108</v>
      </c>
      <c r="C175" s="6">
        <v>46112</v>
      </c>
      <c r="D175" s="3" t="s">
        <v>395</v>
      </c>
      <c r="E175" s="154" t="s">
        <v>446</v>
      </c>
      <c r="F175" s="3" t="s">
        <v>45</v>
      </c>
      <c r="G175" s="153">
        <v>53300</v>
      </c>
      <c r="H175" s="3" t="s">
        <v>37</v>
      </c>
      <c r="I175" s="3" t="s">
        <v>401</v>
      </c>
      <c r="J175" s="154" t="s">
        <v>521</v>
      </c>
      <c r="K175" s="154" t="s">
        <v>446</v>
      </c>
      <c r="L175" s="3" t="s">
        <v>394</v>
      </c>
      <c r="M175" s="7">
        <v>751.44</v>
      </c>
      <c r="N175" s="7">
        <v>7678.7</v>
      </c>
      <c r="O175" s="3" t="s">
        <v>491</v>
      </c>
      <c r="P175" t="s">
        <v>212</v>
      </c>
      <c r="Q175" t="s">
        <v>211</v>
      </c>
    </row>
    <row r="176" spans="1:17" x14ac:dyDescent="0.3">
      <c r="A176" s="2"/>
      <c r="B176" s="6">
        <v>46108</v>
      </c>
      <c r="C176" s="6">
        <v>46112</v>
      </c>
      <c r="D176" s="3" t="s">
        <v>395</v>
      </c>
      <c r="E176" s="154" t="s">
        <v>446</v>
      </c>
      <c r="F176" s="3" t="s">
        <v>51</v>
      </c>
      <c r="G176" s="153">
        <v>61100</v>
      </c>
      <c r="H176" s="3" t="s">
        <v>251</v>
      </c>
      <c r="I176" s="3" t="s">
        <v>399</v>
      </c>
      <c r="J176" s="154" t="s">
        <v>531</v>
      </c>
      <c r="K176" s="154" t="s">
        <v>446</v>
      </c>
      <c r="L176" s="3" t="s">
        <v>394</v>
      </c>
      <c r="M176" s="7">
        <v>12413.57</v>
      </c>
      <c r="N176" s="7">
        <v>66425.81</v>
      </c>
      <c r="O176" s="3" t="s">
        <v>252</v>
      </c>
      <c r="P176" t="s">
        <v>218</v>
      </c>
      <c r="Q176" t="s">
        <v>216</v>
      </c>
    </row>
    <row r="177" spans="1:17" x14ac:dyDescent="0.3">
      <c r="A177" s="2"/>
      <c r="B177" s="6">
        <v>46108</v>
      </c>
      <c r="C177" s="6">
        <v>46112</v>
      </c>
      <c r="D177" s="3" t="s">
        <v>395</v>
      </c>
      <c r="E177" s="154" t="s">
        <v>446</v>
      </c>
      <c r="F177" s="3" t="s">
        <v>53</v>
      </c>
      <c r="G177" s="153">
        <v>61120</v>
      </c>
      <c r="H177" s="3" t="s">
        <v>251</v>
      </c>
      <c r="I177" s="3" t="s">
        <v>399</v>
      </c>
      <c r="J177" s="154" t="s">
        <v>531</v>
      </c>
      <c r="K177" s="154" t="s">
        <v>446</v>
      </c>
      <c r="L177" s="3" t="s">
        <v>394</v>
      </c>
      <c r="M177" s="7">
        <v>8162.29</v>
      </c>
      <c r="N177" s="7">
        <v>47224.68</v>
      </c>
      <c r="O177" s="3" t="s">
        <v>252</v>
      </c>
      <c r="P177" t="s">
        <v>218</v>
      </c>
      <c r="Q177" t="s">
        <v>216</v>
      </c>
    </row>
    <row r="178" spans="1:17" x14ac:dyDescent="0.3">
      <c r="A178" s="2"/>
      <c r="B178" s="6">
        <v>46108</v>
      </c>
      <c r="C178" s="6">
        <v>46112</v>
      </c>
      <c r="D178" s="3" t="s">
        <v>395</v>
      </c>
      <c r="E178" s="154" t="s">
        <v>446</v>
      </c>
      <c r="F178" s="3" t="s">
        <v>544</v>
      </c>
      <c r="G178" s="153">
        <v>61200</v>
      </c>
      <c r="H178" s="3" t="s">
        <v>251</v>
      </c>
      <c r="I178" s="3" t="s">
        <v>399</v>
      </c>
      <c r="J178" s="154" t="s">
        <v>531</v>
      </c>
      <c r="K178" s="154" t="s">
        <v>446</v>
      </c>
      <c r="L178" s="3" t="s">
        <v>394</v>
      </c>
      <c r="M178" s="7">
        <v>1048.1500000000001</v>
      </c>
      <c r="N178" s="7">
        <v>15757.99</v>
      </c>
      <c r="O178" s="3" t="s">
        <v>252</v>
      </c>
      <c r="P178" t="s">
        <v>218</v>
      </c>
      <c r="Q178" t="s">
        <v>216</v>
      </c>
    </row>
    <row r="179" spans="1:17" x14ac:dyDescent="0.3">
      <c r="A179" s="2"/>
      <c r="B179" s="6">
        <v>46108</v>
      </c>
      <c r="C179" s="6">
        <v>46112</v>
      </c>
      <c r="D179" s="3" t="s">
        <v>395</v>
      </c>
      <c r="E179" s="154" t="s">
        <v>446</v>
      </c>
      <c r="F179" s="3" t="s">
        <v>56</v>
      </c>
      <c r="G179" s="153">
        <v>61230</v>
      </c>
      <c r="H179" s="3" t="s">
        <v>251</v>
      </c>
      <c r="I179" s="3" t="s">
        <v>399</v>
      </c>
      <c r="J179" s="154" t="s">
        <v>531</v>
      </c>
      <c r="K179" s="154" t="s">
        <v>446</v>
      </c>
      <c r="L179" s="3" t="s">
        <v>394</v>
      </c>
      <c r="M179" s="7">
        <v>-5.54</v>
      </c>
      <c r="N179" s="7">
        <v>-32.049999999999997</v>
      </c>
      <c r="O179" s="3" t="s">
        <v>252</v>
      </c>
      <c r="P179" t="s">
        <v>218</v>
      </c>
      <c r="Q179" t="s">
        <v>216</v>
      </c>
    </row>
    <row r="180" spans="1:17" x14ac:dyDescent="0.3">
      <c r="A180" s="2"/>
      <c r="B180" s="6">
        <v>46108</v>
      </c>
      <c r="C180" s="6">
        <v>46112</v>
      </c>
      <c r="D180" s="3" t="s">
        <v>395</v>
      </c>
      <c r="E180" s="154" t="s">
        <v>446</v>
      </c>
      <c r="F180" s="3" t="s">
        <v>57</v>
      </c>
      <c r="G180" s="153">
        <v>61240</v>
      </c>
      <c r="H180" s="3" t="s">
        <v>251</v>
      </c>
      <c r="I180" s="3" t="s">
        <v>400</v>
      </c>
      <c r="J180" s="154" t="s">
        <v>531</v>
      </c>
      <c r="K180" s="154" t="s">
        <v>446</v>
      </c>
      <c r="L180" s="3" t="s">
        <v>394</v>
      </c>
      <c r="M180" s="7">
        <v>26.74</v>
      </c>
      <c r="N180" s="7">
        <v>185.63</v>
      </c>
      <c r="O180" s="3" t="s">
        <v>252</v>
      </c>
      <c r="P180" t="s">
        <v>218</v>
      </c>
      <c r="Q180" t="s">
        <v>216</v>
      </c>
    </row>
    <row r="181" spans="1:17" x14ac:dyDescent="0.3">
      <c r="A181" s="2"/>
      <c r="B181" s="6">
        <v>46108</v>
      </c>
      <c r="C181" s="6">
        <v>46112</v>
      </c>
      <c r="D181" s="3" t="s">
        <v>395</v>
      </c>
      <c r="E181" s="154" t="s">
        <v>446</v>
      </c>
      <c r="F181" s="3" t="s">
        <v>58</v>
      </c>
      <c r="G181" s="153">
        <v>61300</v>
      </c>
      <c r="H181" s="3" t="s">
        <v>251</v>
      </c>
      <c r="I181" s="3" t="s">
        <v>399</v>
      </c>
      <c r="J181" s="154" t="s">
        <v>531</v>
      </c>
      <c r="K181" s="154" t="s">
        <v>446</v>
      </c>
      <c r="L181" s="3" t="s">
        <v>394</v>
      </c>
      <c r="M181" s="7">
        <v>935.06</v>
      </c>
      <c r="N181" s="7">
        <v>7029.5</v>
      </c>
      <c r="O181" s="3" t="s">
        <v>252</v>
      </c>
      <c r="P181" t="s">
        <v>218</v>
      </c>
      <c r="Q181" t="s">
        <v>216</v>
      </c>
    </row>
    <row r="182" spans="1:17" x14ac:dyDescent="0.3">
      <c r="A182" s="2"/>
      <c r="B182" s="6">
        <v>46111</v>
      </c>
      <c r="C182" s="6">
        <v>46112</v>
      </c>
      <c r="D182" s="3" t="s">
        <v>397</v>
      </c>
      <c r="E182" s="154" t="s">
        <v>446</v>
      </c>
      <c r="F182" s="3" t="s">
        <v>552</v>
      </c>
      <c r="G182" s="153">
        <v>51100</v>
      </c>
      <c r="H182" s="3" t="s">
        <v>37</v>
      </c>
      <c r="I182" s="3" t="s">
        <v>403</v>
      </c>
      <c r="J182" s="154" t="s">
        <v>530</v>
      </c>
      <c r="K182" s="154" t="s">
        <v>446</v>
      </c>
      <c r="L182" s="3" t="s">
        <v>163</v>
      </c>
      <c r="M182" s="7">
        <v>1600</v>
      </c>
      <c r="N182" s="7">
        <v>33640.589999999997</v>
      </c>
      <c r="O182" s="3" t="s">
        <v>492</v>
      </c>
      <c r="P182" t="s">
        <v>550</v>
      </c>
      <c r="Q182" t="s">
        <v>211</v>
      </c>
    </row>
    <row r="183" spans="1:17" x14ac:dyDescent="0.3">
      <c r="A183" s="2"/>
      <c r="B183" s="6">
        <v>46111</v>
      </c>
      <c r="C183" s="6">
        <v>46112</v>
      </c>
      <c r="D183" s="3" t="s">
        <v>395</v>
      </c>
      <c r="E183" s="154" t="s">
        <v>446</v>
      </c>
      <c r="F183" s="3" t="s">
        <v>91</v>
      </c>
      <c r="G183" s="153">
        <v>66110</v>
      </c>
      <c r="H183" s="3" t="s">
        <v>251</v>
      </c>
      <c r="I183" s="3" t="s">
        <v>128</v>
      </c>
      <c r="J183" s="154" t="s">
        <v>534</v>
      </c>
      <c r="K183" s="154" t="s">
        <v>446</v>
      </c>
      <c r="L183" s="3" t="s">
        <v>394</v>
      </c>
      <c r="M183" s="7">
        <v>-464.8</v>
      </c>
      <c r="N183" s="7">
        <v>1561.25</v>
      </c>
      <c r="O183" s="3" t="s">
        <v>252</v>
      </c>
      <c r="P183" t="s">
        <v>222</v>
      </c>
      <c r="Q183" t="s">
        <v>216</v>
      </c>
    </row>
    <row r="184" spans="1:17" x14ac:dyDescent="0.3">
      <c r="A184" s="2"/>
      <c r="B184" s="6">
        <v>46111</v>
      </c>
      <c r="C184" s="6">
        <v>46112</v>
      </c>
      <c r="D184" s="3" t="s">
        <v>395</v>
      </c>
      <c r="E184" s="154" t="s">
        <v>446</v>
      </c>
      <c r="F184" s="3" t="s">
        <v>91</v>
      </c>
      <c r="G184" s="153">
        <v>66110</v>
      </c>
      <c r="H184" s="3" t="s">
        <v>251</v>
      </c>
      <c r="I184" s="3" t="s">
        <v>128</v>
      </c>
      <c r="J184" s="154" t="s">
        <v>534</v>
      </c>
      <c r="K184" s="154" t="s">
        <v>446</v>
      </c>
      <c r="L184" s="3" t="s">
        <v>394</v>
      </c>
      <c r="M184" s="7">
        <v>464.8</v>
      </c>
      <c r="N184" s="7">
        <v>2026.05</v>
      </c>
      <c r="O184" s="3" t="s">
        <v>252</v>
      </c>
      <c r="P184" t="s">
        <v>222</v>
      </c>
      <c r="Q184" t="s">
        <v>216</v>
      </c>
    </row>
    <row r="185" spans="1:17" x14ac:dyDescent="0.3">
      <c r="A185" s="2"/>
      <c r="B185" s="6">
        <v>46112</v>
      </c>
      <c r="C185" s="6">
        <v>46112</v>
      </c>
      <c r="D185" s="3" t="s">
        <v>395</v>
      </c>
      <c r="E185" s="154" t="s">
        <v>446</v>
      </c>
      <c r="F185" s="3" t="s">
        <v>551</v>
      </c>
      <c r="G185" s="153">
        <v>41000</v>
      </c>
      <c r="H185" s="3" t="s">
        <v>34</v>
      </c>
      <c r="I185" s="3" t="s">
        <v>402</v>
      </c>
      <c r="J185" s="154" t="s">
        <v>458</v>
      </c>
      <c r="K185" s="154" t="s">
        <v>446</v>
      </c>
      <c r="L185" s="3" t="s">
        <v>394</v>
      </c>
      <c r="M185" s="7">
        <v>47754.81</v>
      </c>
      <c r="N185" s="7">
        <v>319063.63</v>
      </c>
      <c r="O185" s="3" t="s">
        <v>492</v>
      </c>
      <c r="P185" t="s">
        <v>492</v>
      </c>
      <c r="Q185" t="s">
        <v>208</v>
      </c>
    </row>
    <row r="186" spans="1:17" x14ac:dyDescent="0.3">
      <c r="A186" s="2"/>
      <c r="B186" s="6">
        <v>46112</v>
      </c>
      <c r="C186" s="6">
        <v>46112</v>
      </c>
      <c r="D186" s="3" t="s">
        <v>395</v>
      </c>
      <c r="E186" s="154" t="s">
        <v>446</v>
      </c>
      <c r="F186" s="3" t="s">
        <v>39</v>
      </c>
      <c r="G186" s="153">
        <v>53100</v>
      </c>
      <c r="H186" s="3" t="s">
        <v>37</v>
      </c>
      <c r="I186" s="3" t="s">
        <v>401</v>
      </c>
      <c r="J186" s="154" t="s">
        <v>521</v>
      </c>
      <c r="K186" s="154" t="s">
        <v>446</v>
      </c>
      <c r="L186" s="3" t="s">
        <v>394</v>
      </c>
      <c r="M186" s="7">
        <v>6888.5</v>
      </c>
      <c r="N186" s="7">
        <v>90169.63</v>
      </c>
      <c r="O186" s="3" t="s">
        <v>491</v>
      </c>
      <c r="P186" t="s">
        <v>212</v>
      </c>
      <c r="Q186" t="s">
        <v>211</v>
      </c>
    </row>
    <row r="187" spans="1:17" x14ac:dyDescent="0.3">
      <c r="A187" s="2"/>
      <c r="B187" s="6">
        <v>46112</v>
      </c>
      <c r="C187" s="6">
        <v>46112</v>
      </c>
      <c r="D187" s="3" t="s">
        <v>395</v>
      </c>
      <c r="E187" s="154" t="s">
        <v>446</v>
      </c>
      <c r="F187" s="3" t="s">
        <v>39</v>
      </c>
      <c r="G187" s="153">
        <v>53100</v>
      </c>
      <c r="H187" s="3" t="s">
        <v>37</v>
      </c>
      <c r="I187" s="3" t="s">
        <v>401</v>
      </c>
      <c r="J187" s="154" t="s">
        <v>528</v>
      </c>
      <c r="K187" s="154" t="s">
        <v>446</v>
      </c>
      <c r="L187" s="3" t="s">
        <v>394</v>
      </c>
      <c r="M187" s="7">
        <v>3905.06</v>
      </c>
      <c r="N187" s="7">
        <v>94074.69</v>
      </c>
      <c r="O187" s="3" t="s">
        <v>492</v>
      </c>
      <c r="P187" t="s">
        <v>212</v>
      </c>
      <c r="Q187" t="s">
        <v>211</v>
      </c>
    </row>
    <row r="188" spans="1:17" x14ac:dyDescent="0.3">
      <c r="A188" s="2"/>
      <c r="B188" s="6">
        <v>46112</v>
      </c>
      <c r="C188" s="6">
        <v>46112</v>
      </c>
      <c r="D188" s="3" t="s">
        <v>395</v>
      </c>
      <c r="E188" s="154" t="s">
        <v>446</v>
      </c>
      <c r="F188" s="3" t="s">
        <v>543</v>
      </c>
      <c r="G188" s="153">
        <v>53200</v>
      </c>
      <c r="H188" s="3" t="s">
        <v>37</v>
      </c>
      <c r="I188" s="3" t="s">
        <v>401</v>
      </c>
      <c r="J188" s="154" t="s">
        <v>521</v>
      </c>
      <c r="K188" s="154" t="s">
        <v>446</v>
      </c>
      <c r="L188" s="3" t="s">
        <v>394</v>
      </c>
      <c r="M188" s="7">
        <v>1166.54</v>
      </c>
      <c r="N188" s="7">
        <v>26202.93</v>
      </c>
      <c r="O188" s="3" t="s">
        <v>491</v>
      </c>
      <c r="P188" t="s">
        <v>212</v>
      </c>
      <c r="Q188" t="s">
        <v>211</v>
      </c>
    </row>
    <row r="189" spans="1:17" x14ac:dyDescent="0.3">
      <c r="A189" s="2"/>
      <c r="B189" s="6">
        <v>46112</v>
      </c>
      <c r="C189" s="6">
        <v>46112</v>
      </c>
      <c r="D189" s="3" t="s">
        <v>395</v>
      </c>
      <c r="E189" s="154" t="s">
        <v>446</v>
      </c>
      <c r="F189" s="3" t="s">
        <v>543</v>
      </c>
      <c r="G189" s="153">
        <v>53200</v>
      </c>
      <c r="H189" s="3" t="s">
        <v>37</v>
      </c>
      <c r="I189" s="3" t="s">
        <v>401</v>
      </c>
      <c r="J189" s="154" t="s">
        <v>528</v>
      </c>
      <c r="K189" s="154" t="s">
        <v>446</v>
      </c>
      <c r="L189" s="3" t="s">
        <v>394</v>
      </c>
      <c r="M189" s="7">
        <v>727.63</v>
      </c>
      <c r="N189" s="7">
        <v>26930.560000000001</v>
      </c>
      <c r="O189" s="3" t="s">
        <v>492</v>
      </c>
      <c r="P189" t="s">
        <v>212</v>
      </c>
      <c r="Q189" t="s">
        <v>211</v>
      </c>
    </row>
    <row r="190" spans="1:17" x14ac:dyDescent="0.3">
      <c r="A190" s="2"/>
      <c r="B190" s="6">
        <v>46112</v>
      </c>
      <c r="C190" s="6">
        <v>46112</v>
      </c>
      <c r="D190" s="3" t="s">
        <v>395</v>
      </c>
      <c r="E190" s="154" t="s">
        <v>446</v>
      </c>
      <c r="F190" s="3" t="s">
        <v>43</v>
      </c>
      <c r="G190" s="153">
        <v>53230</v>
      </c>
      <c r="H190" s="3" t="s">
        <v>37</v>
      </c>
      <c r="I190" s="3" t="s">
        <v>401</v>
      </c>
      <c r="J190" s="154" t="s">
        <v>521</v>
      </c>
      <c r="K190" s="154" t="s">
        <v>446</v>
      </c>
      <c r="L190" s="3" t="s">
        <v>394</v>
      </c>
      <c r="M190" s="7">
        <v>-49.55</v>
      </c>
      <c r="N190" s="7">
        <v>-450.9</v>
      </c>
      <c r="O190" s="3" t="s">
        <v>491</v>
      </c>
      <c r="P190" t="s">
        <v>212</v>
      </c>
      <c r="Q190" t="s">
        <v>211</v>
      </c>
    </row>
    <row r="191" spans="1:17" x14ac:dyDescent="0.3">
      <c r="A191" s="2"/>
      <c r="B191" s="6">
        <v>46112</v>
      </c>
      <c r="C191" s="6">
        <v>46112</v>
      </c>
      <c r="D191" s="3" t="s">
        <v>395</v>
      </c>
      <c r="E191" s="154" t="s">
        <v>446</v>
      </c>
      <c r="F191" s="3" t="s">
        <v>44</v>
      </c>
      <c r="G191" s="153">
        <v>53240</v>
      </c>
      <c r="H191" s="3" t="s">
        <v>37</v>
      </c>
      <c r="I191" s="3" t="s">
        <v>401</v>
      </c>
      <c r="J191" s="154" t="s">
        <v>521</v>
      </c>
      <c r="K191" s="154" t="s">
        <v>446</v>
      </c>
      <c r="L191" s="3" t="s">
        <v>394</v>
      </c>
      <c r="M191" s="7">
        <v>21.98</v>
      </c>
      <c r="N191" s="7">
        <v>344.03</v>
      </c>
      <c r="O191" s="3" t="s">
        <v>491</v>
      </c>
      <c r="P191" t="s">
        <v>212</v>
      </c>
      <c r="Q191" t="s">
        <v>211</v>
      </c>
    </row>
    <row r="192" spans="1:17" x14ac:dyDescent="0.3">
      <c r="A192" s="2"/>
      <c r="B192" s="6">
        <v>46112</v>
      </c>
      <c r="C192" s="6">
        <v>46112</v>
      </c>
      <c r="D192" s="3" t="s">
        <v>395</v>
      </c>
      <c r="E192" s="154" t="s">
        <v>446</v>
      </c>
      <c r="F192" s="3" t="s">
        <v>44</v>
      </c>
      <c r="G192" s="153">
        <v>53240</v>
      </c>
      <c r="H192" s="3" t="s">
        <v>37</v>
      </c>
      <c r="I192" s="3" t="s">
        <v>401</v>
      </c>
      <c r="J192" s="154" t="s">
        <v>528</v>
      </c>
      <c r="K192" s="154" t="s">
        <v>446</v>
      </c>
      <c r="L192" s="3" t="s">
        <v>394</v>
      </c>
      <c r="M192" s="7">
        <v>14.01</v>
      </c>
      <c r="N192" s="7">
        <v>358.04</v>
      </c>
      <c r="O192" s="3" t="s">
        <v>492</v>
      </c>
      <c r="P192" t="s">
        <v>212</v>
      </c>
      <c r="Q192" t="s">
        <v>211</v>
      </c>
    </row>
    <row r="193" spans="1:17" x14ac:dyDescent="0.3">
      <c r="A193" s="2"/>
      <c r="B193" s="6">
        <v>46112</v>
      </c>
      <c r="C193" s="6">
        <v>46112</v>
      </c>
      <c r="D193" s="3" t="s">
        <v>395</v>
      </c>
      <c r="E193" s="154" t="s">
        <v>446</v>
      </c>
      <c r="F193" s="3" t="s">
        <v>45</v>
      </c>
      <c r="G193" s="153">
        <v>53300</v>
      </c>
      <c r="H193" s="3" t="s">
        <v>37</v>
      </c>
      <c r="I193" s="3" t="s">
        <v>401</v>
      </c>
      <c r="J193" s="154" t="s">
        <v>528</v>
      </c>
      <c r="K193" s="154" t="s">
        <v>446</v>
      </c>
      <c r="L193" s="3" t="s">
        <v>394</v>
      </c>
      <c r="M193" s="7">
        <v>290.14999999999998</v>
      </c>
      <c r="N193" s="7">
        <v>7968.85</v>
      </c>
      <c r="O193" s="3" t="s">
        <v>492</v>
      </c>
      <c r="P193" t="s">
        <v>212</v>
      </c>
      <c r="Q193" t="s">
        <v>211</v>
      </c>
    </row>
    <row r="194" spans="1:17" x14ac:dyDescent="0.3">
      <c r="A194" s="2"/>
      <c r="B194" s="6">
        <v>46112</v>
      </c>
      <c r="C194" s="6">
        <v>46112</v>
      </c>
      <c r="D194" s="3" t="s">
        <v>395</v>
      </c>
      <c r="E194" s="154" t="s">
        <v>446</v>
      </c>
      <c r="F194" s="3" t="s">
        <v>45</v>
      </c>
      <c r="G194" s="153">
        <v>53300</v>
      </c>
      <c r="H194" s="3" t="s">
        <v>37</v>
      </c>
      <c r="I194" s="3" t="s">
        <v>401</v>
      </c>
      <c r="J194" s="154" t="s">
        <v>521</v>
      </c>
      <c r="K194" s="154" t="s">
        <v>446</v>
      </c>
      <c r="L194" s="3" t="s">
        <v>394</v>
      </c>
      <c r="M194" s="7">
        <v>507.36</v>
      </c>
      <c r="N194" s="7">
        <v>8476.2099999999991</v>
      </c>
      <c r="O194" s="3" t="s">
        <v>491</v>
      </c>
      <c r="P194" t="s">
        <v>212</v>
      </c>
      <c r="Q194" t="s">
        <v>211</v>
      </c>
    </row>
    <row r="195" spans="1:17" x14ac:dyDescent="0.3">
      <c r="A195" s="2"/>
      <c r="B195" s="6">
        <v>46112</v>
      </c>
      <c r="C195" s="6">
        <v>46112</v>
      </c>
      <c r="D195" s="3" t="s">
        <v>395</v>
      </c>
      <c r="E195" s="154" t="s">
        <v>446</v>
      </c>
      <c r="F195" s="3" t="s">
        <v>51</v>
      </c>
      <c r="G195" s="153">
        <v>61100</v>
      </c>
      <c r="H195" s="3" t="s">
        <v>251</v>
      </c>
      <c r="I195" s="3" t="s">
        <v>399</v>
      </c>
      <c r="J195" s="154" t="s">
        <v>531</v>
      </c>
      <c r="K195" s="154" t="s">
        <v>446</v>
      </c>
      <c r="L195" s="3" t="s">
        <v>394</v>
      </c>
      <c r="M195" s="7">
        <v>8424.2000000000007</v>
      </c>
      <c r="N195" s="7">
        <v>74850.009999999995</v>
      </c>
      <c r="O195" s="3" t="s">
        <v>252</v>
      </c>
      <c r="P195" t="s">
        <v>218</v>
      </c>
      <c r="Q195" t="s">
        <v>216</v>
      </c>
    </row>
    <row r="196" spans="1:17" x14ac:dyDescent="0.3">
      <c r="A196" s="2"/>
      <c r="B196" s="6">
        <v>46112</v>
      </c>
      <c r="C196" s="6">
        <v>46112</v>
      </c>
      <c r="D196" s="3" t="s">
        <v>395</v>
      </c>
      <c r="E196" s="154" t="s">
        <v>446</v>
      </c>
      <c r="F196" s="3" t="s">
        <v>53</v>
      </c>
      <c r="G196" s="153">
        <v>61120</v>
      </c>
      <c r="H196" s="3" t="s">
        <v>251</v>
      </c>
      <c r="I196" s="3" t="s">
        <v>399</v>
      </c>
      <c r="J196" s="154" t="s">
        <v>531</v>
      </c>
      <c r="K196" s="154" t="s">
        <v>446</v>
      </c>
      <c r="L196" s="3" t="s">
        <v>394</v>
      </c>
      <c r="M196" s="7">
        <v>5830.21</v>
      </c>
      <c r="N196" s="7">
        <v>53054.89</v>
      </c>
      <c r="O196" s="3" t="s">
        <v>252</v>
      </c>
      <c r="P196" t="s">
        <v>218</v>
      </c>
      <c r="Q196" t="s">
        <v>216</v>
      </c>
    </row>
    <row r="197" spans="1:17" x14ac:dyDescent="0.3">
      <c r="A197" s="2"/>
      <c r="B197" s="6">
        <v>46112</v>
      </c>
      <c r="C197" s="6">
        <v>46112</v>
      </c>
      <c r="D197" s="3" t="s">
        <v>395</v>
      </c>
      <c r="E197" s="154" t="s">
        <v>446</v>
      </c>
      <c r="F197" s="3" t="s">
        <v>544</v>
      </c>
      <c r="G197" s="153">
        <v>61200</v>
      </c>
      <c r="H197" s="3" t="s">
        <v>251</v>
      </c>
      <c r="I197" s="3" t="s">
        <v>399</v>
      </c>
      <c r="J197" s="154" t="s">
        <v>531</v>
      </c>
      <c r="K197" s="154" t="s">
        <v>446</v>
      </c>
      <c r="L197" s="3" t="s">
        <v>394</v>
      </c>
      <c r="M197" s="7">
        <v>748.68</v>
      </c>
      <c r="N197" s="7">
        <v>16506.669999999998</v>
      </c>
      <c r="O197" s="3" t="s">
        <v>252</v>
      </c>
      <c r="P197" t="s">
        <v>218</v>
      </c>
      <c r="Q197" t="s">
        <v>216</v>
      </c>
    </row>
    <row r="198" spans="1:17" x14ac:dyDescent="0.3">
      <c r="A198" s="2"/>
      <c r="B198" s="6">
        <v>46112</v>
      </c>
      <c r="C198" s="6">
        <v>46112</v>
      </c>
      <c r="D198" s="3" t="s">
        <v>395</v>
      </c>
      <c r="E198" s="154" t="s">
        <v>446</v>
      </c>
      <c r="F198" s="3" t="s">
        <v>56</v>
      </c>
      <c r="G198" s="153">
        <v>61230</v>
      </c>
      <c r="H198" s="3" t="s">
        <v>251</v>
      </c>
      <c r="I198" s="3" t="s">
        <v>399</v>
      </c>
      <c r="J198" s="154" t="s">
        <v>531</v>
      </c>
      <c r="K198" s="154" t="s">
        <v>446</v>
      </c>
      <c r="L198" s="3" t="s">
        <v>394</v>
      </c>
      <c r="M198" s="7">
        <v>-3.96</v>
      </c>
      <c r="N198" s="7">
        <v>-36.01</v>
      </c>
      <c r="O198" s="3" t="s">
        <v>252</v>
      </c>
      <c r="P198" t="s">
        <v>218</v>
      </c>
      <c r="Q198" t="s">
        <v>216</v>
      </c>
    </row>
    <row r="199" spans="1:17" x14ac:dyDescent="0.3">
      <c r="A199" s="2"/>
      <c r="B199" s="6">
        <v>46112</v>
      </c>
      <c r="C199" s="6">
        <v>46112</v>
      </c>
      <c r="D199" s="3" t="s">
        <v>395</v>
      </c>
      <c r="E199" s="154" t="s">
        <v>446</v>
      </c>
      <c r="F199" s="3" t="s">
        <v>57</v>
      </c>
      <c r="G199" s="153">
        <v>61240</v>
      </c>
      <c r="H199" s="3" t="s">
        <v>251</v>
      </c>
      <c r="I199" s="3" t="s">
        <v>400</v>
      </c>
      <c r="J199" s="154" t="s">
        <v>531</v>
      </c>
      <c r="K199" s="154" t="s">
        <v>446</v>
      </c>
      <c r="L199" s="3" t="s">
        <v>394</v>
      </c>
      <c r="M199" s="7">
        <v>19.100000000000001</v>
      </c>
      <c r="N199" s="7">
        <v>204.73</v>
      </c>
      <c r="O199" s="3" t="s">
        <v>252</v>
      </c>
      <c r="P199" t="s">
        <v>218</v>
      </c>
      <c r="Q199" t="s">
        <v>216</v>
      </c>
    </row>
    <row r="200" spans="1:17" x14ac:dyDescent="0.3">
      <c r="A200" s="2"/>
      <c r="B200" s="6">
        <v>46112</v>
      </c>
      <c r="C200" s="6">
        <v>46112</v>
      </c>
      <c r="D200" s="3" t="s">
        <v>395</v>
      </c>
      <c r="E200" s="154" t="s">
        <v>446</v>
      </c>
      <c r="F200" s="3" t="s">
        <v>58</v>
      </c>
      <c r="G200" s="153">
        <v>61300</v>
      </c>
      <c r="H200" s="3" t="s">
        <v>251</v>
      </c>
      <c r="I200" s="3" t="s">
        <v>399</v>
      </c>
      <c r="J200" s="154" t="s">
        <v>531</v>
      </c>
      <c r="K200" s="154" t="s">
        <v>446</v>
      </c>
      <c r="L200" s="3" t="s">
        <v>394</v>
      </c>
      <c r="M200" s="7">
        <v>630.62</v>
      </c>
      <c r="N200" s="7">
        <v>7660.12</v>
      </c>
      <c r="O200" s="3" t="s">
        <v>252</v>
      </c>
      <c r="P200" t="s">
        <v>218</v>
      </c>
      <c r="Q200" t="s">
        <v>216</v>
      </c>
    </row>
    <row r="201" spans="1:17" x14ac:dyDescent="0.3">
      <c r="A201" s="2"/>
      <c r="B201" s="6">
        <v>46112</v>
      </c>
      <c r="C201" s="6">
        <v>46112</v>
      </c>
      <c r="D201" s="3" t="s">
        <v>397</v>
      </c>
      <c r="E201" s="154" t="s">
        <v>446</v>
      </c>
      <c r="F201" s="3" t="s">
        <v>99</v>
      </c>
      <c r="G201" s="153">
        <v>67110</v>
      </c>
      <c r="H201" s="3" t="s">
        <v>251</v>
      </c>
      <c r="I201" s="3" t="s">
        <v>398</v>
      </c>
      <c r="J201" s="154" t="s">
        <v>571</v>
      </c>
      <c r="K201" s="154" t="s">
        <v>446</v>
      </c>
      <c r="L201" s="3" t="s">
        <v>163</v>
      </c>
      <c r="M201" s="7">
        <v>45</v>
      </c>
      <c r="N201" s="7">
        <v>5657.38</v>
      </c>
      <c r="O201" s="3" t="s">
        <v>252</v>
      </c>
      <c r="P201" t="s">
        <v>126</v>
      </c>
      <c r="Q201" t="s">
        <v>216</v>
      </c>
    </row>
    <row r="202" spans="1:17" x14ac:dyDescent="0.3">
      <c r="A202" s="2"/>
      <c r="B202" s="6">
        <v>46112</v>
      </c>
      <c r="C202" s="6">
        <v>46112</v>
      </c>
      <c r="D202" s="3" t="s">
        <v>397</v>
      </c>
      <c r="E202" s="154" t="s">
        <v>446</v>
      </c>
      <c r="F202" s="3" t="s">
        <v>99</v>
      </c>
      <c r="G202" s="153">
        <v>67110</v>
      </c>
      <c r="H202" s="3" t="s">
        <v>251</v>
      </c>
      <c r="I202" s="3" t="s">
        <v>398</v>
      </c>
      <c r="J202" s="154" t="s">
        <v>572</v>
      </c>
      <c r="K202" s="154" t="s">
        <v>446</v>
      </c>
      <c r="L202" s="3" t="s">
        <v>163</v>
      </c>
      <c r="M202" s="7">
        <v>615</v>
      </c>
      <c r="N202" s="7">
        <v>6272.38</v>
      </c>
      <c r="O202" s="3" t="s">
        <v>252</v>
      </c>
      <c r="P202" t="s">
        <v>126</v>
      </c>
      <c r="Q202" t="s">
        <v>216</v>
      </c>
    </row>
    <row r="203" spans="1:17" x14ac:dyDescent="0.3">
      <c r="A203" s="2"/>
      <c r="B203" s="6">
        <v>46112</v>
      </c>
      <c r="C203" s="6">
        <v>46112</v>
      </c>
      <c r="D203" s="3" t="s">
        <v>397</v>
      </c>
      <c r="E203" s="154" t="s">
        <v>446</v>
      </c>
      <c r="F203" s="3" t="s">
        <v>99</v>
      </c>
      <c r="G203" s="153">
        <v>67110</v>
      </c>
      <c r="H203" s="3" t="s">
        <v>251</v>
      </c>
      <c r="I203" s="3" t="s">
        <v>398</v>
      </c>
      <c r="J203" s="154" t="s">
        <v>570</v>
      </c>
      <c r="K203" s="154" t="s">
        <v>446</v>
      </c>
      <c r="L203" s="3" t="s">
        <v>163</v>
      </c>
      <c r="M203" s="7">
        <v>59.04</v>
      </c>
      <c r="N203" s="7">
        <v>6331.42</v>
      </c>
      <c r="O203" s="3" t="s">
        <v>252</v>
      </c>
      <c r="P203" t="s">
        <v>126</v>
      </c>
      <c r="Q203" t="s">
        <v>216</v>
      </c>
    </row>
    <row r="204" spans="1:17" x14ac:dyDescent="0.3">
      <c r="A204" s="2"/>
      <c r="B204" s="6">
        <v>46112</v>
      </c>
      <c r="C204" s="6">
        <v>46112</v>
      </c>
      <c r="D204" s="3" t="s">
        <v>395</v>
      </c>
      <c r="E204" s="154" t="s">
        <v>446</v>
      </c>
      <c r="F204" s="3" t="s">
        <v>99</v>
      </c>
      <c r="G204" s="153">
        <v>67110</v>
      </c>
      <c r="H204" s="3" t="s">
        <v>251</v>
      </c>
      <c r="I204" s="3" t="s">
        <v>398</v>
      </c>
      <c r="J204" s="154" t="s">
        <v>571</v>
      </c>
      <c r="K204" s="154" t="s">
        <v>446</v>
      </c>
      <c r="L204" s="3" t="s">
        <v>394</v>
      </c>
      <c r="M204" s="7">
        <v>269.16000000000003</v>
      </c>
      <c r="N204" s="7">
        <v>6600.58</v>
      </c>
      <c r="O204" s="3" t="s">
        <v>252</v>
      </c>
      <c r="P204" t="s">
        <v>126</v>
      </c>
      <c r="Q204" t="s">
        <v>216</v>
      </c>
    </row>
    <row r="205" spans="1:17" x14ac:dyDescent="0.3">
      <c r="A205" s="2"/>
      <c r="B205" s="6">
        <v>46112</v>
      </c>
      <c r="C205" s="6">
        <v>46112</v>
      </c>
      <c r="D205" s="3" t="s">
        <v>397</v>
      </c>
      <c r="E205" s="154" t="s">
        <v>446</v>
      </c>
      <c r="F205" s="3" t="s">
        <v>110</v>
      </c>
      <c r="G205" s="153">
        <v>67126</v>
      </c>
      <c r="H205" s="3" t="s">
        <v>251</v>
      </c>
      <c r="I205" s="3" t="s">
        <v>396</v>
      </c>
      <c r="J205" s="154" t="s">
        <v>525</v>
      </c>
      <c r="K205" s="154" t="s">
        <v>446</v>
      </c>
      <c r="L205" s="3" t="s">
        <v>163</v>
      </c>
      <c r="M205" s="7">
        <v>22.5</v>
      </c>
      <c r="N205" s="7">
        <v>101.24</v>
      </c>
      <c r="O205" s="3" t="s">
        <v>491</v>
      </c>
      <c r="P205" t="s">
        <v>217</v>
      </c>
      <c r="Q205" t="s">
        <v>216</v>
      </c>
    </row>
    <row r="206" spans="1:17" x14ac:dyDescent="0.3">
      <c r="A206" s="2"/>
      <c r="B206" s="6">
        <v>46112</v>
      </c>
      <c r="C206" s="6">
        <v>46112</v>
      </c>
      <c r="D206" s="3" t="s">
        <v>397</v>
      </c>
      <c r="E206" s="154" t="s">
        <v>446</v>
      </c>
      <c r="F206" s="3" t="s">
        <v>110</v>
      </c>
      <c r="G206" s="153">
        <v>67126</v>
      </c>
      <c r="H206" s="3" t="s">
        <v>251</v>
      </c>
      <c r="I206" s="3" t="s">
        <v>396</v>
      </c>
      <c r="J206" s="154" t="s">
        <v>525</v>
      </c>
      <c r="K206" s="154" t="s">
        <v>446</v>
      </c>
      <c r="L206" s="3" t="s">
        <v>163</v>
      </c>
      <c r="M206" s="7">
        <v>250</v>
      </c>
      <c r="N206" s="7">
        <v>351.24</v>
      </c>
      <c r="O206" s="3" t="s">
        <v>491</v>
      </c>
      <c r="P206" t="s">
        <v>217</v>
      </c>
      <c r="Q206" t="s">
        <v>216</v>
      </c>
    </row>
    <row r="207" spans="1:17" x14ac:dyDescent="0.3">
      <c r="A207" s="2"/>
      <c r="B207" s="6">
        <v>46112</v>
      </c>
      <c r="C207" s="6">
        <v>46112</v>
      </c>
      <c r="D207" s="3" t="s">
        <v>395</v>
      </c>
      <c r="E207" s="154" t="s">
        <v>446</v>
      </c>
      <c r="F207" s="3" t="s">
        <v>113</v>
      </c>
      <c r="G207" s="153">
        <v>67220</v>
      </c>
      <c r="H207" s="3" t="s">
        <v>251</v>
      </c>
      <c r="I207" s="3" t="s">
        <v>223</v>
      </c>
      <c r="J207" s="154" t="s">
        <v>576</v>
      </c>
      <c r="K207" s="154" t="s">
        <v>446</v>
      </c>
      <c r="L207" s="3" t="s">
        <v>394</v>
      </c>
      <c r="M207" s="7">
        <v>713.61</v>
      </c>
      <c r="N207" s="7">
        <v>2140.83</v>
      </c>
      <c r="O207" s="3" t="s">
        <v>252</v>
      </c>
      <c r="P207" t="s">
        <v>223</v>
      </c>
      <c r="Q207" t="s">
        <v>216</v>
      </c>
    </row>
  </sheetData>
  <autoFilter ref="B5:Q207" xr:uid="{0EAD0D98-F1E1-46B9-9BD1-D1F9AD735343}"/>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82535-3C32-4256-A075-D0E3AADA9139}">
  <dimension ref="A1:Q183"/>
  <sheetViews>
    <sheetView showGridLines="0" workbookViewId="0">
      <pane ySplit="5" topLeftCell="A12" activePane="bottomLeft" state="frozen"/>
      <selection pane="bottomLeft"/>
    </sheetView>
  </sheetViews>
  <sheetFormatPr defaultRowHeight="14.4" x14ac:dyDescent="0.3"/>
  <cols>
    <col min="1" max="1" width="0.6640625" customWidth="1"/>
    <col min="2" max="3" width="14" customWidth="1"/>
    <col min="4" max="4" width="30" customWidth="1"/>
    <col min="5" max="5" width="28.109375" bestFit="1" customWidth="1"/>
    <col min="6" max="6" width="60" customWidth="1"/>
    <col min="7" max="7" width="18" customWidth="1"/>
    <col min="8" max="9" width="27" customWidth="1"/>
    <col min="10" max="11" width="28.109375" bestFit="1" customWidth="1"/>
    <col min="12" max="12" width="60" customWidth="1"/>
    <col min="13" max="13" width="14" customWidth="1"/>
    <col min="14" max="14" width="19" customWidth="1"/>
    <col min="15" max="15" width="30" customWidth="1"/>
    <col min="16" max="16" width="34" customWidth="1"/>
    <col min="17" max="17" width="30.5546875" bestFit="1" customWidth="1"/>
  </cols>
  <sheetData>
    <row r="1" spans="1:17" x14ac:dyDescent="0.3">
      <c r="A1" s="1" t="s">
        <v>386</v>
      </c>
      <c r="B1" s="2"/>
      <c r="C1" s="2"/>
      <c r="D1" s="2"/>
      <c r="E1" s="2"/>
      <c r="F1" s="2"/>
      <c r="G1" s="2"/>
      <c r="H1" s="2"/>
      <c r="I1" s="2"/>
      <c r="J1" s="2"/>
      <c r="K1" s="2"/>
      <c r="L1" s="2"/>
      <c r="M1" s="2"/>
      <c r="N1" s="2"/>
    </row>
    <row r="2" spans="1:17" x14ac:dyDescent="0.3">
      <c r="A2" s="3" t="s">
        <v>443</v>
      </c>
      <c r="B2" s="2"/>
      <c r="C2" s="2"/>
      <c r="D2" s="2"/>
      <c r="E2" s="2"/>
      <c r="F2" s="2"/>
      <c r="G2" s="2"/>
      <c r="H2" s="2"/>
      <c r="I2" s="2"/>
      <c r="J2" s="2"/>
      <c r="K2" s="2"/>
      <c r="L2" s="2"/>
      <c r="M2" s="2"/>
      <c r="N2" s="2"/>
    </row>
    <row r="3" spans="1:17" x14ac:dyDescent="0.3">
      <c r="A3" s="2"/>
      <c r="B3" s="2"/>
      <c r="C3" s="2"/>
      <c r="D3" s="2"/>
      <c r="E3" s="2"/>
      <c r="F3" s="2"/>
      <c r="G3" s="2"/>
      <c r="H3" s="2"/>
      <c r="I3" s="2"/>
      <c r="J3" s="2"/>
      <c r="K3" s="2"/>
      <c r="L3" s="2"/>
      <c r="M3" s="2"/>
      <c r="N3" s="2"/>
    </row>
    <row r="4" spans="1:17" x14ac:dyDescent="0.3">
      <c r="A4" s="2"/>
      <c r="B4" s="2"/>
      <c r="C4" s="2"/>
      <c r="D4" s="2"/>
      <c r="E4" s="2"/>
      <c r="F4" s="2"/>
      <c r="G4" s="2"/>
      <c r="H4" s="2"/>
      <c r="I4" s="2"/>
      <c r="J4" s="2"/>
      <c r="K4" s="2"/>
      <c r="L4" s="2"/>
      <c r="M4" s="2"/>
      <c r="N4" s="2"/>
    </row>
    <row r="5" spans="1:17" x14ac:dyDescent="0.3">
      <c r="A5" s="2"/>
      <c r="B5" s="4" t="s">
        <v>417</v>
      </c>
      <c r="C5" s="5" t="s">
        <v>246</v>
      </c>
      <c r="D5" s="5" t="s">
        <v>416</v>
      </c>
      <c r="E5" s="5" t="s">
        <v>415</v>
      </c>
      <c r="F5" s="5" t="s">
        <v>247</v>
      </c>
      <c r="G5" s="5" t="s">
        <v>414</v>
      </c>
      <c r="H5" s="5" t="s">
        <v>248</v>
      </c>
      <c r="I5" s="5" t="s">
        <v>259</v>
      </c>
      <c r="J5" s="5" t="s">
        <v>413</v>
      </c>
      <c r="K5" s="5" t="s">
        <v>412</v>
      </c>
      <c r="L5" s="5" t="s">
        <v>411</v>
      </c>
      <c r="M5" s="5" t="s">
        <v>250</v>
      </c>
      <c r="N5" s="5" t="s">
        <v>410</v>
      </c>
      <c r="O5" s="36" t="s">
        <v>447</v>
      </c>
      <c r="P5" s="36" t="s">
        <v>448</v>
      </c>
      <c r="Q5" s="155" t="s">
        <v>450</v>
      </c>
    </row>
    <row r="6" spans="1:17" x14ac:dyDescent="0.3">
      <c r="A6" s="2"/>
      <c r="B6" s="6">
        <v>46082</v>
      </c>
      <c r="C6" s="6">
        <v>46112</v>
      </c>
      <c r="D6" s="3" t="s">
        <v>397</v>
      </c>
      <c r="E6" s="154" t="s">
        <v>446</v>
      </c>
      <c r="F6" s="3" t="s">
        <v>163</v>
      </c>
      <c r="G6" s="153">
        <v>21000</v>
      </c>
      <c r="H6" s="3" t="s">
        <v>162</v>
      </c>
      <c r="I6" s="3" t="s">
        <v>270</v>
      </c>
      <c r="J6" s="154" t="s">
        <v>446</v>
      </c>
      <c r="K6" s="154" t="s">
        <v>446</v>
      </c>
      <c r="L6" s="3" t="s">
        <v>442</v>
      </c>
      <c r="M6" s="7">
        <v>1887.8</v>
      </c>
      <c r="N6" s="7">
        <v>20514.080000000002</v>
      </c>
      <c r="O6" t="s">
        <v>162</v>
      </c>
      <c r="P6" t="s">
        <v>161</v>
      </c>
      <c r="Q6" t="str">
        <f>IF(L6="","",IF(L6="-Split-",IF(H6="Bank",IF(D6="Journal Entry","Payroll &amp; Benefits",IF(D6="Expense","Credit Card Payments","Journal Entries / Other")),"Journal Entries / Other"),IFERROR(INDEX('Mapping Reference'!$E:$E,MATCH(LEFT(L6,FIND(" ",L6)-1)&amp;" *",'Mapping Reference'!$B:$B,0)),"Unmapped")))</f>
        <v>Professional Fees</v>
      </c>
    </row>
    <row r="7" spans="1:17" x14ac:dyDescent="0.3">
      <c r="A7" s="2"/>
      <c r="B7" s="6">
        <v>46082</v>
      </c>
      <c r="C7" s="6">
        <v>46112</v>
      </c>
      <c r="D7" s="3" t="s">
        <v>251</v>
      </c>
      <c r="E7" s="154" t="s">
        <v>446</v>
      </c>
      <c r="F7" s="3" t="s">
        <v>545</v>
      </c>
      <c r="G7" s="153">
        <v>21210</v>
      </c>
      <c r="H7" s="3" t="s">
        <v>256</v>
      </c>
      <c r="I7" s="3" t="s">
        <v>272</v>
      </c>
      <c r="J7" s="154" t="s">
        <v>446</v>
      </c>
      <c r="K7" s="154" t="s">
        <v>446</v>
      </c>
      <c r="L7" s="3" t="s">
        <v>440</v>
      </c>
      <c r="M7" s="7">
        <v>28.11</v>
      </c>
      <c r="N7" s="7">
        <v>5499.16</v>
      </c>
      <c r="O7" t="s">
        <v>162</v>
      </c>
      <c r="P7" t="s">
        <v>161</v>
      </c>
      <c r="Q7" t="str">
        <f>IF(L7="","",IF(L7="-Split-",IF(H7="Bank",IF(D7="Journal Entry","Payroll &amp; Benefits",IF(D7="Expense","Credit Card Payments","Journal Entries / Other")),"Journal Entries / Other"),IFERROR(INDEX('Mapping Reference'!$E:$E,MATCH(LEFT(L7,FIND(" ",L7)-1)&amp;" *",'Mapping Reference'!$B:$B,0)),"Unmapped")))</f>
        <v>Site Maintenance</v>
      </c>
    </row>
    <row r="8" spans="1:17" x14ac:dyDescent="0.3">
      <c r="A8" s="2"/>
      <c r="B8" s="6">
        <v>46082</v>
      </c>
      <c r="C8" s="6">
        <v>46112</v>
      </c>
      <c r="D8" s="3" t="s">
        <v>251</v>
      </c>
      <c r="E8" s="154" t="s">
        <v>446</v>
      </c>
      <c r="F8" s="3" t="s">
        <v>545</v>
      </c>
      <c r="G8" s="153">
        <v>21210</v>
      </c>
      <c r="H8" s="3" t="s">
        <v>256</v>
      </c>
      <c r="I8" s="3" t="s">
        <v>272</v>
      </c>
      <c r="J8" s="154" t="s">
        <v>446</v>
      </c>
      <c r="K8" s="154" t="s">
        <v>446</v>
      </c>
      <c r="L8" s="3" t="s">
        <v>429</v>
      </c>
      <c r="M8" s="7">
        <v>19.239999999999998</v>
      </c>
      <c r="N8" s="7">
        <v>5518.4</v>
      </c>
      <c r="O8" t="s">
        <v>162</v>
      </c>
      <c r="P8" t="s">
        <v>161</v>
      </c>
      <c r="Q8" t="str">
        <f>IF(L8="","",IF(L8="-Split-",IF(H8="Bank",IF(D8="Journal Entry","Payroll &amp; Benefits",IF(D8="Expense","Credit Card Payments","Journal Entries / Other")),"Journal Entries / Other"),IFERROR(INDEX('Mapping Reference'!$E:$E,MATCH(LEFT(L8,FIND(" ",L8)-1)&amp;" *",'Mapping Reference'!$B:$B,0)),"Unmapped")))</f>
        <v>Unmapped</v>
      </c>
    </row>
    <row r="9" spans="1:17" x14ac:dyDescent="0.3">
      <c r="A9" s="2"/>
      <c r="B9" s="6">
        <v>46082</v>
      </c>
      <c r="C9" s="6">
        <v>46112</v>
      </c>
      <c r="D9" s="3" t="s">
        <v>395</v>
      </c>
      <c r="E9" s="154" t="s">
        <v>446</v>
      </c>
      <c r="F9" s="3" t="s">
        <v>169</v>
      </c>
      <c r="G9" s="153">
        <v>22110</v>
      </c>
      <c r="H9" s="3" t="s">
        <v>257</v>
      </c>
      <c r="I9" s="3" t="s">
        <v>281</v>
      </c>
      <c r="J9" s="154" t="s">
        <v>446</v>
      </c>
      <c r="K9" s="154" t="s">
        <v>446</v>
      </c>
      <c r="L9" s="3" t="s">
        <v>394</v>
      </c>
      <c r="M9" s="7">
        <v>-17437.03</v>
      </c>
      <c r="N9" s="7">
        <v>0</v>
      </c>
      <c r="O9" t="s">
        <v>167</v>
      </c>
      <c r="P9" t="s">
        <v>161</v>
      </c>
      <c r="Q9" t="str">
        <f>IF(L9="","",IF(L9="-Split-",IF(H9="Bank",IF(D9="Journal Entry","Payroll &amp; Benefits",IF(D9="Expense","Credit Card Payments","Journal Entries / Other")),"Journal Entries / Other"),IFERROR(INDEX('Mapping Reference'!$E:$E,MATCH(LEFT(L9,FIND(" ",L9)-1)&amp;" *",'Mapping Reference'!$B:$B,0)),"Unmapped")))</f>
        <v>Journal Entries / Other</v>
      </c>
    </row>
    <row r="10" spans="1:17" x14ac:dyDescent="0.3">
      <c r="A10" s="2"/>
      <c r="B10" s="6">
        <v>46082</v>
      </c>
      <c r="C10" s="6">
        <v>46112</v>
      </c>
      <c r="D10" s="3" t="s">
        <v>395</v>
      </c>
      <c r="E10" s="154" t="s">
        <v>446</v>
      </c>
      <c r="F10" s="3" t="s">
        <v>170</v>
      </c>
      <c r="G10" s="153">
        <v>22115</v>
      </c>
      <c r="H10" s="3" t="s">
        <v>257</v>
      </c>
      <c r="I10" s="3" t="s">
        <v>273</v>
      </c>
      <c r="J10" s="154" t="s">
        <v>446</v>
      </c>
      <c r="K10" s="154" t="s">
        <v>446</v>
      </c>
      <c r="L10" s="3" t="s">
        <v>394</v>
      </c>
      <c r="M10" s="7">
        <v>-1851.11</v>
      </c>
      <c r="N10" s="7">
        <v>0</v>
      </c>
      <c r="O10" t="s">
        <v>167</v>
      </c>
      <c r="P10" t="s">
        <v>161</v>
      </c>
      <c r="Q10" t="str">
        <f>IF(L10="","",IF(L10="-Split-",IF(H10="Bank",IF(D10="Journal Entry","Payroll &amp; Benefits",IF(D10="Expense","Credit Card Payments","Journal Entries / Other")),"Journal Entries / Other"),IFERROR(INDEX('Mapping Reference'!$E:$E,MATCH(LEFT(L10,FIND(" ",L10)-1)&amp;" *",'Mapping Reference'!$B:$B,0)),"Unmapped")))</f>
        <v>Journal Entries / Other</v>
      </c>
    </row>
    <row r="11" spans="1:17" x14ac:dyDescent="0.3">
      <c r="A11" s="2"/>
      <c r="B11" s="6">
        <v>46082</v>
      </c>
      <c r="C11" s="6">
        <v>46112</v>
      </c>
      <c r="D11" s="3" t="s">
        <v>395</v>
      </c>
      <c r="E11" s="154" t="s">
        <v>446</v>
      </c>
      <c r="F11" s="3" t="s">
        <v>171</v>
      </c>
      <c r="G11" s="153">
        <v>22130</v>
      </c>
      <c r="H11" s="3" t="s">
        <v>257</v>
      </c>
      <c r="I11" s="3" t="s">
        <v>282</v>
      </c>
      <c r="J11" s="154" t="s">
        <v>446</v>
      </c>
      <c r="K11" s="154" t="s">
        <v>446</v>
      </c>
      <c r="L11" s="3" t="s">
        <v>394</v>
      </c>
      <c r="M11" s="7">
        <v>-994.69</v>
      </c>
      <c r="N11" s="7">
        <v>0</v>
      </c>
      <c r="O11" t="s">
        <v>167</v>
      </c>
      <c r="P11" t="s">
        <v>161</v>
      </c>
      <c r="Q11" t="str">
        <f>IF(L11="","",IF(L11="-Split-",IF(H11="Bank",IF(D11="Journal Entry","Payroll &amp; Benefits",IF(D11="Expense","Credit Card Payments","Journal Entries / Other")),"Journal Entries / Other"),IFERROR(INDEX('Mapping Reference'!$E:$E,MATCH(LEFT(L11,FIND(" ",L11)-1)&amp;" *",'Mapping Reference'!$B:$B,0)),"Unmapped")))</f>
        <v>Journal Entries / Other</v>
      </c>
    </row>
    <row r="12" spans="1:17" x14ac:dyDescent="0.3">
      <c r="A12" s="2"/>
      <c r="B12" s="6">
        <v>46083</v>
      </c>
      <c r="C12" s="6">
        <v>46112</v>
      </c>
      <c r="D12" s="3" t="s">
        <v>426</v>
      </c>
      <c r="E12" s="154" t="s">
        <v>446</v>
      </c>
      <c r="F12" s="3" t="s">
        <v>553</v>
      </c>
      <c r="G12" s="153">
        <v>11010</v>
      </c>
      <c r="H12" s="3" t="s">
        <v>254</v>
      </c>
      <c r="I12" s="3" t="s">
        <v>262</v>
      </c>
      <c r="J12" s="154" t="s">
        <v>446</v>
      </c>
      <c r="K12" s="154" t="s">
        <v>446</v>
      </c>
      <c r="L12" s="3" t="s">
        <v>554</v>
      </c>
      <c r="M12" s="7">
        <v>-6462.45</v>
      </c>
      <c r="N12" s="7">
        <v>184733.91</v>
      </c>
      <c r="O12" t="s">
        <v>232</v>
      </c>
      <c r="P12" t="s">
        <v>137</v>
      </c>
      <c r="Q12" t="str">
        <f>IF(L12="","",IF(L12="-Split-",IF(H12="Bank",IF(D12="Journal Entry","Payroll &amp; Benefits",IF(D12="Expense","Credit Card Payments","Journal Entries / Other")),"Journal Entries / Other"),IFERROR(INDEX('Mapping Reference'!$E:$E,MATCH(LEFT(L12,FIND(" ",L12)-1)&amp;" *",'Mapping Reference'!$B:$B,0)),"Unmapped")))</f>
        <v>Cash &amp; Cash Equivalents</v>
      </c>
    </row>
    <row r="13" spans="1:17" x14ac:dyDescent="0.3">
      <c r="A13" s="2"/>
      <c r="B13" s="6">
        <v>46083</v>
      </c>
      <c r="C13" s="6">
        <v>46112</v>
      </c>
      <c r="D13" s="3" t="s">
        <v>425</v>
      </c>
      <c r="E13" s="154" t="s">
        <v>446</v>
      </c>
      <c r="F13" s="3" t="s">
        <v>553</v>
      </c>
      <c r="G13" s="153">
        <v>11010</v>
      </c>
      <c r="H13" s="3" t="s">
        <v>254</v>
      </c>
      <c r="I13" s="3" t="s">
        <v>262</v>
      </c>
      <c r="J13" s="154" t="s">
        <v>446</v>
      </c>
      <c r="K13" s="154" t="s">
        <v>446</v>
      </c>
      <c r="L13" s="3" t="s">
        <v>163</v>
      </c>
      <c r="M13" s="7">
        <v>-755.75</v>
      </c>
      <c r="N13" s="7">
        <v>183978.16</v>
      </c>
      <c r="O13" t="s">
        <v>232</v>
      </c>
      <c r="P13" t="s">
        <v>137</v>
      </c>
      <c r="Q13" t="str">
        <f>IF(L13="","",IF(L13="-Split-",IF(H13="Bank",IF(D13="Journal Entry","Payroll &amp; Benefits",IF(D13="Expense","Credit Card Payments","Journal Entries / Other")),"Journal Entries / Other"),IFERROR(INDEX('Mapping Reference'!$E:$E,MATCH(LEFT(L13,FIND(" ",L13)-1)&amp;" *",'Mapping Reference'!$B:$B,0)),"Unmapped")))</f>
        <v>Accounts Payable</v>
      </c>
    </row>
    <row r="14" spans="1:17" x14ac:dyDescent="0.3">
      <c r="A14" s="2"/>
      <c r="B14" s="6">
        <v>46083</v>
      </c>
      <c r="C14" s="6">
        <v>46112</v>
      </c>
      <c r="D14" s="3" t="s">
        <v>426</v>
      </c>
      <c r="E14" s="154" t="s">
        <v>446</v>
      </c>
      <c r="F14" s="3" t="s">
        <v>554</v>
      </c>
      <c r="G14" s="153">
        <v>11020</v>
      </c>
      <c r="H14" s="3" t="s">
        <v>254</v>
      </c>
      <c r="I14" s="3" t="s">
        <v>262</v>
      </c>
      <c r="J14" s="154" t="s">
        <v>446</v>
      </c>
      <c r="K14" s="154" t="s">
        <v>446</v>
      </c>
      <c r="L14" s="3" t="s">
        <v>553</v>
      </c>
      <c r="M14" s="7">
        <v>6462.45</v>
      </c>
      <c r="N14" s="7">
        <v>21462.45</v>
      </c>
      <c r="O14" t="s">
        <v>232</v>
      </c>
      <c r="P14" t="s">
        <v>137</v>
      </c>
      <c r="Q14" t="str">
        <f>IF(L14="","",IF(L14="-Split-",IF(H14="Bank",IF(D14="Journal Entry","Payroll &amp; Benefits",IF(D14="Expense","Credit Card Payments","Journal Entries / Other")),"Journal Entries / Other"),IFERROR(INDEX('Mapping Reference'!$E:$E,MATCH(LEFT(L14,FIND(" ",L14)-1)&amp;" *",'Mapping Reference'!$B:$B,0)),"Unmapped")))</f>
        <v>Cash &amp; Cash Equivalents</v>
      </c>
    </row>
    <row r="15" spans="1:17" x14ac:dyDescent="0.3">
      <c r="A15" s="2"/>
      <c r="B15" s="6">
        <v>46083</v>
      </c>
      <c r="C15" s="6">
        <v>46112</v>
      </c>
      <c r="D15" s="3" t="s">
        <v>251</v>
      </c>
      <c r="E15" s="154" t="s">
        <v>446</v>
      </c>
      <c r="F15" s="3" t="s">
        <v>554</v>
      </c>
      <c r="G15" s="153">
        <v>11020</v>
      </c>
      <c r="H15" s="3" t="s">
        <v>254</v>
      </c>
      <c r="I15" s="3" t="s">
        <v>262</v>
      </c>
      <c r="J15" s="154" t="s">
        <v>446</v>
      </c>
      <c r="K15" s="154" t="s">
        <v>446</v>
      </c>
      <c r="L15" s="3" t="s">
        <v>394</v>
      </c>
      <c r="M15" s="7">
        <v>-6462.45</v>
      </c>
      <c r="N15" s="7">
        <v>15000</v>
      </c>
      <c r="O15" t="s">
        <v>232</v>
      </c>
      <c r="P15" t="s">
        <v>137</v>
      </c>
      <c r="Q15" t="str">
        <f>IF(L15="","",IF(L15="-Split-",IF(H15="Bank",IF(D15="Journal Entry","Payroll &amp; Benefits",IF(D15="Expense","Credit Card Payments","Journal Entries / Other")),"Journal Entries / Other"),IFERROR(INDEX('Mapping Reference'!$E:$E,MATCH(LEFT(L15,FIND(" ",L15)-1)&amp;" *",'Mapping Reference'!$B:$B,0)),"Unmapped")))</f>
        <v>Credit Card Payments</v>
      </c>
    </row>
    <row r="16" spans="1:17" x14ac:dyDescent="0.3">
      <c r="A16" s="2"/>
      <c r="B16" s="6">
        <v>46083</v>
      </c>
      <c r="C16" s="6">
        <v>46112</v>
      </c>
      <c r="D16" s="3" t="s">
        <v>409</v>
      </c>
      <c r="E16" s="154" t="s">
        <v>446</v>
      </c>
      <c r="F16" s="3" t="s">
        <v>141</v>
      </c>
      <c r="G16" s="153">
        <v>12100</v>
      </c>
      <c r="H16" s="3" t="s">
        <v>140</v>
      </c>
      <c r="I16" s="3" t="s">
        <v>264</v>
      </c>
      <c r="J16" s="154" t="s">
        <v>446</v>
      </c>
      <c r="K16" s="154" t="s">
        <v>446</v>
      </c>
      <c r="L16" s="3" t="s">
        <v>394</v>
      </c>
      <c r="M16" s="7">
        <v>15165</v>
      </c>
      <c r="N16" s="7">
        <v>122626.88</v>
      </c>
      <c r="O16" t="s">
        <v>233</v>
      </c>
      <c r="P16" t="s">
        <v>137</v>
      </c>
      <c r="Q16" t="str">
        <f>IF(L16="","",IF(L16="-Split-",IF(H16="Bank",IF(D16="Journal Entry","Payroll &amp; Benefits",IF(D16="Expense","Credit Card Payments","Journal Entries / Other")),"Journal Entries / Other"),IFERROR(INDEX('Mapping Reference'!$E:$E,MATCH(LEFT(L16,FIND(" ",L16)-1)&amp;" *",'Mapping Reference'!$B:$B,0)),"Unmapped")))</f>
        <v>Journal Entries / Other</v>
      </c>
    </row>
    <row r="17" spans="1:17" x14ac:dyDescent="0.3">
      <c r="A17" s="2"/>
      <c r="B17" s="6">
        <v>46083</v>
      </c>
      <c r="C17" s="6">
        <v>46112</v>
      </c>
      <c r="D17" s="3" t="s">
        <v>409</v>
      </c>
      <c r="E17" s="154" t="s">
        <v>446</v>
      </c>
      <c r="F17" s="3" t="s">
        <v>141</v>
      </c>
      <c r="G17" s="153">
        <v>12100</v>
      </c>
      <c r="H17" s="3" t="s">
        <v>140</v>
      </c>
      <c r="I17" s="3" t="s">
        <v>264</v>
      </c>
      <c r="J17" s="154" t="s">
        <v>446</v>
      </c>
      <c r="K17" s="154" t="s">
        <v>446</v>
      </c>
      <c r="L17" s="3" t="s">
        <v>394</v>
      </c>
      <c r="M17" s="7">
        <v>1890</v>
      </c>
      <c r="N17" s="7">
        <v>124516.88</v>
      </c>
      <c r="O17" t="s">
        <v>233</v>
      </c>
      <c r="P17" t="s">
        <v>137</v>
      </c>
      <c r="Q17" t="str">
        <f>IF(L17="","",IF(L17="-Split-",IF(H17="Bank",IF(D17="Journal Entry","Payroll &amp; Benefits",IF(D17="Expense","Credit Card Payments","Journal Entries / Other")),"Journal Entries / Other"),IFERROR(INDEX('Mapping Reference'!$E:$E,MATCH(LEFT(L17,FIND(" ",L17)-1)&amp;" *",'Mapping Reference'!$B:$B,0)),"Unmapped")))</f>
        <v>Journal Entries / Other</v>
      </c>
    </row>
    <row r="18" spans="1:17" x14ac:dyDescent="0.3">
      <c r="A18" s="2"/>
      <c r="B18" s="6">
        <v>46083</v>
      </c>
      <c r="C18" s="6">
        <v>46112</v>
      </c>
      <c r="D18" s="3" t="s">
        <v>409</v>
      </c>
      <c r="E18" s="154" t="s">
        <v>446</v>
      </c>
      <c r="F18" s="3" t="s">
        <v>141</v>
      </c>
      <c r="G18" s="153">
        <v>12100</v>
      </c>
      <c r="H18" s="3" t="s">
        <v>140</v>
      </c>
      <c r="I18" s="3" t="s">
        <v>264</v>
      </c>
      <c r="J18" s="154" t="s">
        <v>446</v>
      </c>
      <c r="K18" s="154" t="s">
        <v>446</v>
      </c>
      <c r="L18" s="3" t="s">
        <v>394</v>
      </c>
      <c r="M18" s="7">
        <v>797.5</v>
      </c>
      <c r="N18" s="7">
        <v>125314.38</v>
      </c>
      <c r="O18" t="s">
        <v>233</v>
      </c>
      <c r="P18" t="s">
        <v>137</v>
      </c>
      <c r="Q18" t="str">
        <f>IF(L18="","",IF(L18="-Split-",IF(H18="Bank",IF(D18="Journal Entry","Payroll &amp; Benefits",IF(D18="Expense","Credit Card Payments","Journal Entries / Other")),"Journal Entries / Other"),IFERROR(INDEX('Mapping Reference'!$E:$E,MATCH(LEFT(L18,FIND(" ",L18)-1)&amp;" *",'Mapping Reference'!$B:$B,0)),"Unmapped")))</f>
        <v>Journal Entries / Other</v>
      </c>
    </row>
    <row r="19" spans="1:17" x14ac:dyDescent="0.3">
      <c r="A19" s="2"/>
      <c r="B19" s="6">
        <v>46083</v>
      </c>
      <c r="C19" s="6">
        <v>46112</v>
      </c>
      <c r="D19" s="3" t="s">
        <v>409</v>
      </c>
      <c r="E19" s="154" t="s">
        <v>446</v>
      </c>
      <c r="F19" s="3" t="s">
        <v>141</v>
      </c>
      <c r="G19" s="153">
        <v>12100</v>
      </c>
      <c r="H19" s="3" t="s">
        <v>140</v>
      </c>
      <c r="I19" s="3" t="s">
        <v>264</v>
      </c>
      <c r="J19" s="154" t="s">
        <v>446</v>
      </c>
      <c r="K19" s="154" t="s">
        <v>446</v>
      </c>
      <c r="L19" s="3" t="s">
        <v>560</v>
      </c>
      <c r="M19" s="7">
        <v>3500</v>
      </c>
      <c r="N19" s="7">
        <v>128814.38</v>
      </c>
      <c r="O19" t="s">
        <v>233</v>
      </c>
      <c r="P19" t="s">
        <v>137</v>
      </c>
      <c r="Q19" t="str">
        <f>IF(L19="","",IF(L19="-Split-",IF(H19="Bank",IF(D19="Journal Entry","Payroll &amp; Benefits",IF(D19="Expense","Credit Card Payments","Journal Entries / Other")),"Journal Entries / Other"),IFERROR(INDEX('Mapping Reference'!$E:$E,MATCH(LEFT(L19,FIND(" ",L19)-1)&amp;" *",'Mapping Reference'!$B:$B,0)),"Unmapped")))</f>
        <v>Class A</v>
      </c>
    </row>
    <row r="20" spans="1:17" x14ac:dyDescent="0.3">
      <c r="A20" s="2"/>
      <c r="B20" s="6">
        <v>46083</v>
      </c>
      <c r="C20" s="6">
        <v>46112</v>
      </c>
      <c r="D20" s="3" t="s">
        <v>409</v>
      </c>
      <c r="E20" s="154" t="s">
        <v>446</v>
      </c>
      <c r="F20" s="3" t="s">
        <v>141</v>
      </c>
      <c r="G20" s="153">
        <v>12100</v>
      </c>
      <c r="H20" s="3" t="s">
        <v>140</v>
      </c>
      <c r="I20" s="3" t="s">
        <v>264</v>
      </c>
      <c r="J20" s="154" t="s">
        <v>446</v>
      </c>
      <c r="K20" s="154" t="s">
        <v>446</v>
      </c>
      <c r="L20" s="3" t="s">
        <v>394</v>
      </c>
      <c r="M20" s="7">
        <v>2103.75</v>
      </c>
      <c r="N20" s="7">
        <v>130918.13</v>
      </c>
      <c r="O20" t="s">
        <v>233</v>
      </c>
      <c r="P20" t="s">
        <v>137</v>
      </c>
      <c r="Q20" t="str">
        <f>IF(L20="","",IF(L20="-Split-",IF(H20="Bank",IF(D20="Journal Entry","Payroll &amp; Benefits",IF(D20="Expense","Credit Card Payments","Journal Entries / Other")),"Journal Entries / Other"),IFERROR(INDEX('Mapping Reference'!$E:$E,MATCH(LEFT(L20,FIND(" ",L20)-1)&amp;" *",'Mapping Reference'!$B:$B,0)),"Unmapped")))</f>
        <v>Journal Entries / Other</v>
      </c>
    </row>
    <row r="21" spans="1:17" x14ac:dyDescent="0.3">
      <c r="A21" s="2"/>
      <c r="B21" s="6">
        <v>46083</v>
      </c>
      <c r="C21" s="6">
        <v>46112</v>
      </c>
      <c r="D21" s="3" t="s">
        <v>409</v>
      </c>
      <c r="E21" s="154" t="s">
        <v>446</v>
      </c>
      <c r="F21" s="3" t="s">
        <v>141</v>
      </c>
      <c r="G21" s="153">
        <v>12100</v>
      </c>
      <c r="H21" s="3" t="s">
        <v>140</v>
      </c>
      <c r="I21" s="3" t="s">
        <v>264</v>
      </c>
      <c r="J21" s="154" t="s">
        <v>446</v>
      </c>
      <c r="K21" s="154" t="s">
        <v>446</v>
      </c>
      <c r="L21" s="3" t="s">
        <v>394</v>
      </c>
      <c r="M21" s="7">
        <v>11441</v>
      </c>
      <c r="N21" s="7">
        <v>142359.13</v>
      </c>
      <c r="O21" t="s">
        <v>233</v>
      </c>
      <c r="P21" t="s">
        <v>137</v>
      </c>
      <c r="Q21" t="str">
        <f>IF(L21="","",IF(L21="-Split-",IF(H21="Bank",IF(D21="Journal Entry","Payroll &amp; Benefits",IF(D21="Expense","Credit Card Payments","Journal Entries / Other")),"Journal Entries / Other"),IFERROR(INDEX('Mapping Reference'!$E:$E,MATCH(LEFT(L21,FIND(" ",L21)-1)&amp;" *",'Mapping Reference'!$B:$B,0)),"Unmapped")))</f>
        <v>Journal Entries / Other</v>
      </c>
    </row>
    <row r="22" spans="1:17" x14ac:dyDescent="0.3">
      <c r="A22" s="2"/>
      <c r="B22" s="6">
        <v>46083</v>
      </c>
      <c r="C22" s="6">
        <v>46112</v>
      </c>
      <c r="D22" s="3" t="s">
        <v>409</v>
      </c>
      <c r="E22" s="154" t="s">
        <v>446</v>
      </c>
      <c r="F22" s="3" t="s">
        <v>141</v>
      </c>
      <c r="G22" s="153">
        <v>12100</v>
      </c>
      <c r="H22" s="3" t="s">
        <v>140</v>
      </c>
      <c r="I22" s="3" t="s">
        <v>264</v>
      </c>
      <c r="J22" s="154" t="s">
        <v>446</v>
      </c>
      <c r="K22" s="154" t="s">
        <v>446</v>
      </c>
      <c r="L22" s="3" t="s">
        <v>560</v>
      </c>
      <c r="M22" s="7">
        <v>500</v>
      </c>
      <c r="N22" s="7">
        <v>142859.13</v>
      </c>
      <c r="O22" t="s">
        <v>233</v>
      </c>
      <c r="P22" t="s">
        <v>137</v>
      </c>
      <c r="Q22" t="str">
        <f>IF(L22="","",IF(L22="-Split-",IF(H22="Bank",IF(D22="Journal Entry","Payroll &amp; Benefits",IF(D22="Expense","Credit Card Payments","Journal Entries / Other")),"Journal Entries / Other"),IFERROR(INDEX('Mapping Reference'!$E:$E,MATCH(LEFT(L22,FIND(" ",L22)-1)&amp;" *",'Mapping Reference'!$B:$B,0)),"Unmapped")))</f>
        <v>Class A</v>
      </c>
    </row>
    <row r="23" spans="1:17" x14ac:dyDescent="0.3">
      <c r="A23" s="2"/>
      <c r="B23" s="6">
        <v>46083</v>
      </c>
      <c r="C23" s="6">
        <v>46112</v>
      </c>
      <c r="D23" s="3" t="s">
        <v>409</v>
      </c>
      <c r="E23" s="154" t="s">
        <v>446</v>
      </c>
      <c r="F23" s="3" t="s">
        <v>141</v>
      </c>
      <c r="G23" s="153">
        <v>12100</v>
      </c>
      <c r="H23" s="3" t="s">
        <v>140</v>
      </c>
      <c r="I23" s="3" t="s">
        <v>264</v>
      </c>
      <c r="J23" s="154" t="s">
        <v>446</v>
      </c>
      <c r="K23" s="154" t="s">
        <v>446</v>
      </c>
      <c r="L23" s="3" t="s">
        <v>560</v>
      </c>
      <c r="M23" s="7">
        <v>300</v>
      </c>
      <c r="N23" s="7">
        <v>143159.13</v>
      </c>
      <c r="O23" t="s">
        <v>233</v>
      </c>
      <c r="P23" t="s">
        <v>137</v>
      </c>
      <c r="Q23" t="str">
        <f>IF(L23="","",IF(L23="-Split-",IF(H23="Bank",IF(D23="Journal Entry","Payroll &amp; Benefits",IF(D23="Expense","Credit Card Payments","Journal Entries / Other")),"Journal Entries / Other"),IFERROR(INDEX('Mapping Reference'!$E:$E,MATCH(LEFT(L23,FIND(" ",L23)-1)&amp;" *",'Mapping Reference'!$B:$B,0)),"Unmapped")))</f>
        <v>Class A</v>
      </c>
    </row>
    <row r="24" spans="1:17" x14ac:dyDescent="0.3">
      <c r="A24" s="2"/>
      <c r="B24" s="6">
        <v>46083</v>
      </c>
      <c r="C24" s="6">
        <v>46112</v>
      </c>
      <c r="D24" s="3" t="s">
        <v>409</v>
      </c>
      <c r="E24" s="154" t="s">
        <v>446</v>
      </c>
      <c r="F24" s="3" t="s">
        <v>141</v>
      </c>
      <c r="G24" s="153">
        <v>12100</v>
      </c>
      <c r="H24" s="3" t="s">
        <v>140</v>
      </c>
      <c r="I24" s="3" t="s">
        <v>264</v>
      </c>
      <c r="J24" s="154" t="s">
        <v>446</v>
      </c>
      <c r="K24" s="154" t="s">
        <v>446</v>
      </c>
      <c r="L24" s="3" t="s">
        <v>560</v>
      </c>
      <c r="M24" s="7">
        <v>300</v>
      </c>
      <c r="N24" s="7">
        <v>143459.13</v>
      </c>
      <c r="O24" t="s">
        <v>233</v>
      </c>
      <c r="P24" t="s">
        <v>137</v>
      </c>
      <c r="Q24" t="str">
        <f>IF(L24="","",IF(L24="-Split-",IF(H24="Bank",IF(D24="Journal Entry","Payroll &amp; Benefits",IF(D24="Expense","Credit Card Payments","Journal Entries / Other")),"Journal Entries / Other"),IFERROR(INDEX('Mapping Reference'!$E:$E,MATCH(LEFT(L24,FIND(" ",L24)-1)&amp;" *",'Mapping Reference'!$B:$B,0)),"Unmapped")))</f>
        <v>Class A</v>
      </c>
    </row>
    <row r="25" spans="1:17" x14ac:dyDescent="0.3">
      <c r="A25" s="2"/>
      <c r="B25" s="6">
        <v>46083</v>
      </c>
      <c r="C25" s="6">
        <v>46112</v>
      </c>
      <c r="D25" s="3" t="s">
        <v>409</v>
      </c>
      <c r="E25" s="154" t="s">
        <v>446</v>
      </c>
      <c r="F25" s="3" t="s">
        <v>141</v>
      </c>
      <c r="G25" s="153">
        <v>12100</v>
      </c>
      <c r="H25" s="3" t="s">
        <v>140</v>
      </c>
      <c r="I25" s="3" t="s">
        <v>264</v>
      </c>
      <c r="J25" s="154" t="s">
        <v>446</v>
      </c>
      <c r="K25" s="154" t="s">
        <v>446</v>
      </c>
      <c r="L25" s="3" t="s">
        <v>560</v>
      </c>
      <c r="M25" s="7">
        <v>3500</v>
      </c>
      <c r="N25" s="7">
        <v>146959.13</v>
      </c>
      <c r="O25" t="s">
        <v>233</v>
      </c>
      <c r="P25" t="s">
        <v>137</v>
      </c>
      <c r="Q25" t="str">
        <f>IF(L25="","",IF(L25="-Split-",IF(H25="Bank",IF(D25="Journal Entry","Payroll &amp; Benefits",IF(D25="Expense","Credit Card Payments","Journal Entries / Other")),"Journal Entries / Other"),IFERROR(INDEX('Mapping Reference'!$E:$E,MATCH(LEFT(L25,FIND(" ",L25)-1)&amp;" *",'Mapping Reference'!$B:$B,0)),"Unmapped")))</f>
        <v>Class A</v>
      </c>
    </row>
    <row r="26" spans="1:17" x14ac:dyDescent="0.3">
      <c r="A26" s="2"/>
      <c r="B26" s="6">
        <v>46083</v>
      </c>
      <c r="C26" s="6">
        <v>46112</v>
      </c>
      <c r="D26" s="3" t="s">
        <v>409</v>
      </c>
      <c r="E26" s="154" t="s">
        <v>446</v>
      </c>
      <c r="F26" s="3" t="s">
        <v>141</v>
      </c>
      <c r="G26" s="153">
        <v>12100</v>
      </c>
      <c r="H26" s="3" t="s">
        <v>140</v>
      </c>
      <c r="I26" s="3" t="s">
        <v>264</v>
      </c>
      <c r="J26" s="154" t="s">
        <v>446</v>
      </c>
      <c r="K26" s="154" t="s">
        <v>446</v>
      </c>
      <c r="L26" s="3" t="s">
        <v>394</v>
      </c>
      <c r="M26" s="7">
        <v>2572.5</v>
      </c>
      <c r="N26" s="7">
        <v>149531.63</v>
      </c>
      <c r="O26" t="s">
        <v>233</v>
      </c>
      <c r="P26" t="s">
        <v>137</v>
      </c>
      <c r="Q26" t="str">
        <f>IF(L26="","",IF(L26="-Split-",IF(H26="Bank",IF(D26="Journal Entry","Payroll &amp; Benefits",IF(D26="Expense","Credit Card Payments","Journal Entries / Other")),"Journal Entries / Other"),IFERROR(INDEX('Mapping Reference'!$E:$E,MATCH(LEFT(L26,FIND(" ",L26)-1)&amp;" *",'Mapping Reference'!$B:$B,0)),"Unmapped")))</f>
        <v>Journal Entries / Other</v>
      </c>
    </row>
    <row r="27" spans="1:17" x14ac:dyDescent="0.3">
      <c r="A27" s="2"/>
      <c r="B27" s="6">
        <v>46083</v>
      </c>
      <c r="C27" s="6">
        <v>46112</v>
      </c>
      <c r="D27" s="3" t="s">
        <v>409</v>
      </c>
      <c r="E27" s="154" t="s">
        <v>446</v>
      </c>
      <c r="F27" s="3" t="s">
        <v>141</v>
      </c>
      <c r="G27" s="153">
        <v>12100</v>
      </c>
      <c r="H27" s="3" t="s">
        <v>140</v>
      </c>
      <c r="I27" s="3" t="s">
        <v>264</v>
      </c>
      <c r="J27" s="154" t="s">
        <v>446</v>
      </c>
      <c r="K27" s="154" t="s">
        <v>446</v>
      </c>
      <c r="L27" s="3" t="s">
        <v>394</v>
      </c>
      <c r="M27" s="7">
        <v>8260</v>
      </c>
      <c r="N27" s="7">
        <v>157791.63</v>
      </c>
      <c r="O27" t="s">
        <v>233</v>
      </c>
      <c r="P27" t="s">
        <v>137</v>
      </c>
      <c r="Q27" t="str">
        <f>IF(L27="","",IF(L27="-Split-",IF(H27="Bank",IF(D27="Journal Entry","Payroll &amp; Benefits",IF(D27="Expense","Credit Card Payments","Journal Entries / Other")),"Journal Entries / Other"),IFERROR(INDEX('Mapping Reference'!$E:$E,MATCH(LEFT(L27,FIND(" ",L27)-1)&amp;" *",'Mapping Reference'!$B:$B,0)),"Unmapped")))</f>
        <v>Journal Entries / Other</v>
      </c>
    </row>
    <row r="28" spans="1:17" x14ac:dyDescent="0.3">
      <c r="A28" s="2"/>
      <c r="B28" s="6">
        <v>46083</v>
      </c>
      <c r="C28" s="6">
        <v>46112</v>
      </c>
      <c r="D28" s="3" t="s">
        <v>409</v>
      </c>
      <c r="E28" s="154" t="s">
        <v>446</v>
      </c>
      <c r="F28" s="3" t="s">
        <v>141</v>
      </c>
      <c r="G28" s="153">
        <v>12100</v>
      </c>
      <c r="H28" s="3" t="s">
        <v>140</v>
      </c>
      <c r="I28" s="3" t="s">
        <v>264</v>
      </c>
      <c r="J28" s="154" t="s">
        <v>446</v>
      </c>
      <c r="K28" s="154" t="s">
        <v>446</v>
      </c>
      <c r="L28" s="3" t="s">
        <v>551</v>
      </c>
      <c r="M28" s="7">
        <v>950</v>
      </c>
      <c r="N28" s="7">
        <v>158741.63</v>
      </c>
      <c r="O28" t="s">
        <v>233</v>
      </c>
      <c r="P28" t="s">
        <v>137</v>
      </c>
      <c r="Q28" t="str">
        <f>IF(L28="","",IF(L28="-Split-",IF(H28="Bank",IF(D28="Journal Entry","Payroll &amp; Benefits",IF(D28="Expense","Credit Card Payments","Journal Entries / Other")),"Journal Entries / Other"),IFERROR(INDEX('Mapping Reference'!$E:$E,MATCH(LEFT(L28,FIND(" ",L28)-1)&amp;" *",'Mapping Reference'!$B:$B,0)),"Unmapped")))</f>
        <v>Class B</v>
      </c>
    </row>
    <row r="29" spans="1:17" x14ac:dyDescent="0.3">
      <c r="A29" s="2"/>
      <c r="B29" s="6">
        <v>46083</v>
      </c>
      <c r="C29" s="6">
        <v>46112</v>
      </c>
      <c r="D29" s="3" t="s">
        <v>409</v>
      </c>
      <c r="E29" s="154" t="s">
        <v>446</v>
      </c>
      <c r="F29" s="3" t="s">
        <v>141</v>
      </c>
      <c r="G29" s="153">
        <v>12100</v>
      </c>
      <c r="H29" s="3" t="s">
        <v>140</v>
      </c>
      <c r="I29" s="3" t="s">
        <v>264</v>
      </c>
      <c r="J29" s="154" t="s">
        <v>446</v>
      </c>
      <c r="K29" s="154" t="s">
        <v>446</v>
      </c>
      <c r="L29" s="3" t="s">
        <v>394</v>
      </c>
      <c r="M29" s="7">
        <v>3197.95</v>
      </c>
      <c r="N29" s="7">
        <v>161939.57999999999</v>
      </c>
      <c r="O29" t="s">
        <v>233</v>
      </c>
      <c r="P29" t="s">
        <v>137</v>
      </c>
      <c r="Q29" t="str">
        <f>IF(L29="","",IF(L29="-Split-",IF(H29="Bank",IF(D29="Journal Entry","Payroll &amp; Benefits",IF(D29="Expense","Credit Card Payments","Journal Entries / Other")),"Journal Entries / Other"),IFERROR(INDEX('Mapping Reference'!$E:$E,MATCH(LEFT(L29,FIND(" ",L29)-1)&amp;" *",'Mapping Reference'!$B:$B,0)),"Unmapped")))</f>
        <v>Journal Entries / Other</v>
      </c>
    </row>
    <row r="30" spans="1:17" x14ac:dyDescent="0.3">
      <c r="A30" s="2"/>
      <c r="B30" s="6">
        <v>46083</v>
      </c>
      <c r="C30" s="6">
        <v>46112</v>
      </c>
      <c r="D30" s="3" t="s">
        <v>409</v>
      </c>
      <c r="E30" s="154" t="s">
        <v>446</v>
      </c>
      <c r="F30" s="3" t="s">
        <v>141</v>
      </c>
      <c r="G30" s="153">
        <v>12100</v>
      </c>
      <c r="H30" s="3" t="s">
        <v>140</v>
      </c>
      <c r="I30" s="3" t="s">
        <v>264</v>
      </c>
      <c r="J30" s="154" t="s">
        <v>446</v>
      </c>
      <c r="K30" s="154" t="s">
        <v>446</v>
      </c>
      <c r="L30" s="3" t="s">
        <v>394</v>
      </c>
      <c r="M30" s="7">
        <v>5535.63</v>
      </c>
      <c r="N30" s="7">
        <v>167475.21</v>
      </c>
      <c r="O30" t="s">
        <v>233</v>
      </c>
      <c r="P30" t="s">
        <v>137</v>
      </c>
      <c r="Q30" t="str">
        <f>IF(L30="","",IF(L30="-Split-",IF(H30="Bank",IF(D30="Journal Entry","Payroll &amp; Benefits",IF(D30="Expense","Credit Card Payments","Journal Entries / Other")),"Journal Entries / Other"),IFERROR(INDEX('Mapping Reference'!$E:$E,MATCH(LEFT(L30,FIND(" ",L30)-1)&amp;" *",'Mapping Reference'!$B:$B,0)),"Unmapped")))</f>
        <v>Journal Entries / Other</v>
      </c>
    </row>
    <row r="31" spans="1:17" x14ac:dyDescent="0.3">
      <c r="A31" s="2"/>
      <c r="B31" s="6">
        <v>46083</v>
      </c>
      <c r="C31" s="6">
        <v>46112</v>
      </c>
      <c r="D31" s="3" t="s">
        <v>409</v>
      </c>
      <c r="E31" s="154" t="s">
        <v>446</v>
      </c>
      <c r="F31" s="3" t="s">
        <v>141</v>
      </c>
      <c r="G31" s="153">
        <v>12100</v>
      </c>
      <c r="H31" s="3" t="s">
        <v>140</v>
      </c>
      <c r="I31" s="3" t="s">
        <v>264</v>
      </c>
      <c r="J31" s="154" t="s">
        <v>446</v>
      </c>
      <c r="K31" s="154" t="s">
        <v>446</v>
      </c>
      <c r="L31" s="3" t="s">
        <v>394</v>
      </c>
      <c r="M31" s="7">
        <v>16403.5</v>
      </c>
      <c r="N31" s="7">
        <v>183878.71</v>
      </c>
      <c r="O31" t="s">
        <v>233</v>
      </c>
      <c r="P31" t="s">
        <v>137</v>
      </c>
      <c r="Q31" t="str">
        <f>IF(L31="","",IF(L31="-Split-",IF(H31="Bank",IF(D31="Journal Entry","Payroll &amp; Benefits",IF(D31="Expense","Credit Card Payments","Journal Entries / Other")),"Journal Entries / Other"),IFERROR(INDEX('Mapping Reference'!$E:$E,MATCH(LEFT(L31,FIND(" ",L31)-1)&amp;" *",'Mapping Reference'!$B:$B,0)),"Unmapped")))</f>
        <v>Journal Entries / Other</v>
      </c>
    </row>
    <row r="32" spans="1:17" x14ac:dyDescent="0.3">
      <c r="A32" s="2"/>
      <c r="B32" s="6">
        <v>46083</v>
      </c>
      <c r="C32" s="6">
        <v>46112</v>
      </c>
      <c r="D32" s="3" t="s">
        <v>409</v>
      </c>
      <c r="E32" s="154" t="s">
        <v>446</v>
      </c>
      <c r="F32" s="3" t="s">
        <v>144</v>
      </c>
      <c r="G32" s="153">
        <v>12200</v>
      </c>
      <c r="H32" s="3" t="s">
        <v>255</v>
      </c>
      <c r="I32" s="3" t="s">
        <v>265</v>
      </c>
      <c r="J32" s="154" t="s">
        <v>446</v>
      </c>
      <c r="K32" s="154" t="s">
        <v>446</v>
      </c>
      <c r="L32" s="3" t="s">
        <v>141</v>
      </c>
      <c r="M32" s="7">
        <v>-25</v>
      </c>
      <c r="N32" s="7">
        <v>444.15</v>
      </c>
      <c r="O32" t="s">
        <v>143</v>
      </c>
      <c r="P32" t="s">
        <v>137</v>
      </c>
      <c r="Q32" t="str">
        <f>IF(L32="","",IF(L32="-Split-",IF(H32="Bank",IF(D32="Journal Entry","Payroll &amp; Benefits",IF(D32="Expense","Credit Card Payments","Journal Entries / Other")),"Journal Entries / Other"),IFERROR(INDEX('Mapping Reference'!$E:$E,MATCH(LEFT(L32,FIND(" ",L32)-1)&amp;" *",'Mapping Reference'!$B:$B,0)),"Unmapped")))</f>
        <v>Accounts Receivable (A/R)</v>
      </c>
    </row>
    <row r="33" spans="1:17" x14ac:dyDescent="0.3">
      <c r="A33" s="2"/>
      <c r="B33" s="6">
        <v>46083</v>
      </c>
      <c r="C33" s="6">
        <v>46112</v>
      </c>
      <c r="D33" s="3" t="s">
        <v>409</v>
      </c>
      <c r="E33" s="154" t="s">
        <v>446</v>
      </c>
      <c r="F33" s="3" t="s">
        <v>148</v>
      </c>
      <c r="G33" s="153">
        <v>13300</v>
      </c>
      <c r="H33" s="3" t="s">
        <v>255</v>
      </c>
      <c r="I33" s="3" t="s">
        <v>266</v>
      </c>
      <c r="J33" s="154" t="s">
        <v>446</v>
      </c>
      <c r="K33" s="154" t="s">
        <v>446</v>
      </c>
      <c r="L33" s="3" t="s">
        <v>141</v>
      </c>
      <c r="M33" s="7">
        <v>-197.5</v>
      </c>
      <c r="N33" s="7">
        <v>-197.5</v>
      </c>
      <c r="O33" t="s">
        <v>143</v>
      </c>
      <c r="P33" t="s">
        <v>137</v>
      </c>
      <c r="Q33" t="str">
        <f>IF(L33="","",IF(L33="-Split-",IF(H33="Bank",IF(D33="Journal Entry","Payroll &amp; Benefits",IF(D33="Expense","Credit Card Payments","Journal Entries / Other")),"Journal Entries / Other"),IFERROR(INDEX('Mapping Reference'!$E:$E,MATCH(LEFT(L33,FIND(" ",L33)-1)&amp;" *",'Mapping Reference'!$B:$B,0)),"Unmapped")))</f>
        <v>Accounts Receivable (A/R)</v>
      </c>
    </row>
    <row r="34" spans="1:17" x14ac:dyDescent="0.3">
      <c r="A34" s="2"/>
      <c r="B34" s="6">
        <v>46083</v>
      </c>
      <c r="C34" s="6">
        <v>46112</v>
      </c>
      <c r="D34" s="3" t="s">
        <v>397</v>
      </c>
      <c r="E34" s="154" t="s">
        <v>446</v>
      </c>
      <c r="F34" s="3" t="s">
        <v>163</v>
      </c>
      <c r="G34" s="153">
        <v>21000</v>
      </c>
      <c r="H34" s="3" t="s">
        <v>162</v>
      </c>
      <c r="I34" s="3" t="s">
        <v>270</v>
      </c>
      <c r="J34" s="154" t="s">
        <v>446</v>
      </c>
      <c r="K34" s="154" t="s">
        <v>446</v>
      </c>
      <c r="L34" s="3" t="s">
        <v>441</v>
      </c>
      <c r="M34" s="7">
        <v>755.75</v>
      </c>
      <c r="N34" s="7">
        <v>21269.83</v>
      </c>
      <c r="O34" t="s">
        <v>162</v>
      </c>
      <c r="P34" t="s">
        <v>161</v>
      </c>
      <c r="Q34" t="str">
        <f>IF(L34="","",IF(L34="-Split-",IF(H34="Bank",IF(D34="Journal Entry","Payroll &amp; Benefits",IF(D34="Expense","Credit Card Payments","Journal Entries / Other")),"Journal Entries / Other"),IFERROR(INDEX('Mapping Reference'!$E:$E,MATCH(LEFT(L34,FIND(" ",L34)-1)&amp;" *",'Mapping Reference'!$B:$B,0)),"Unmapped")))</f>
        <v>Insurance</v>
      </c>
    </row>
    <row r="35" spans="1:17" x14ac:dyDescent="0.3">
      <c r="A35" s="2"/>
      <c r="B35" s="6">
        <v>46083</v>
      </c>
      <c r="C35" s="6">
        <v>46112</v>
      </c>
      <c r="D35" s="3" t="s">
        <v>425</v>
      </c>
      <c r="E35" s="154" t="s">
        <v>446</v>
      </c>
      <c r="F35" s="3" t="s">
        <v>163</v>
      </c>
      <c r="G35" s="153">
        <v>21000</v>
      </c>
      <c r="H35" s="3" t="s">
        <v>162</v>
      </c>
      <c r="I35" s="3" t="s">
        <v>270</v>
      </c>
      <c r="J35" s="154" t="s">
        <v>446</v>
      </c>
      <c r="K35" s="154" t="s">
        <v>446</v>
      </c>
      <c r="L35" s="3" t="s">
        <v>553</v>
      </c>
      <c r="M35" s="7">
        <v>-755.75</v>
      </c>
      <c r="N35" s="7">
        <v>20514.080000000002</v>
      </c>
      <c r="O35" t="s">
        <v>162</v>
      </c>
      <c r="P35" t="s">
        <v>161</v>
      </c>
      <c r="Q35" t="str">
        <f>IF(L35="","",IF(L35="-Split-",IF(H35="Bank",IF(D35="Journal Entry","Payroll &amp; Benefits",IF(D35="Expense","Credit Card Payments","Journal Entries / Other")),"Journal Entries / Other"),IFERROR(INDEX('Mapping Reference'!$E:$E,MATCH(LEFT(L35,FIND(" ",L35)-1)&amp;" *",'Mapping Reference'!$B:$B,0)),"Unmapped")))</f>
        <v>Cash &amp; Cash Equivalents</v>
      </c>
    </row>
    <row r="36" spans="1:17" x14ac:dyDescent="0.3">
      <c r="A36" s="2"/>
      <c r="B36" s="6">
        <v>46083</v>
      </c>
      <c r="C36" s="6">
        <v>46112</v>
      </c>
      <c r="D36" s="3" t="s">
        <v>397</v>
      </c>
      <c r="E36" s="154" t="s">
        <v>446</v>
      </c>
      <c r="F36" s="3" t="s">
        <v>163</v>
      </c>
      <c r="G36" s="153">
        <v>21000</v>
      </c>
      <c r="H36" s="3" t="s">
        <v>162</v>
      </c>
      <c r="I36" s="3" t="s">
        <v>270</v>
      </c>
      <c r="J36" s="154" t="s">
        <v>446</v>
      </c>
      <c r="K36" s="154" t="s">
        <v>446</v>
      </c>
      <c r="L36" s="3" t="s">
        <v>394</v>
      </c>
      <c r="M36" s="7">
        <v>2093.75</v>
      </c>
      <c r="N36" s="7">
        <v>22607.83</v>
      </c>
      <c r="O36" t="s">
        <v>162</v>
      </c>
      <c r="P36" t="s">
        <v>161</v>
      </c>
      <c r="Q36" t="str">
        <f>IF(L36="","",IF(L36="-Split-",IF(H36="Bank",IF(D36="Journal Entry","Payroll &amp; Benefits",IF(D36="Expense","Credit Card Payments","Journal Entries / Other")),"Journal Entries / Other"),IFERROR(INDEX('Mapping Reference'!$E:$E,MATCH(LEFT(L36,FIND(" ",L36)-1)&amp;" *",'Mapping Reference'!$B:$B,0)),"Unmapped")))</f>
        <v>Journal Entries / Other</v>
      </c>
    </row>
    <row r="37" spans="1:17" x14ac:dyDescent="0.3">
      <c r="A37" s="2"/>
      <c r="B37" s="6">
        <v>46083</v>
      </c>
      <c r="C37" s="6">
        <v>46112</v>
      </c>
      <c r="D37" s="3" t="s">
        <v>251</v>
      </c>
      <c r="E37" s="154" t="s">
        <v>446</v>
      </c>
      <c r="F37" s="3" t="s">
        <v>545</v>
      </c>
      <c r="G37" s="153">
        <v>21210</v>
      </c>
      <c r="H37" s="3" t="s">
        <v>256</v>
      </c>
      <c r="I37" s="3" t="s">
        <v>272</v>
      </c>
      <c r="J37" s="154" t="s">
        <v>446</v>
      </c>
      <c r="K37" s="154" t="s">
        <v>446</v>
      </c>
      <c r="L37" s="3" t="s">
        <v>435</v>
      </c>
      <c r="M37" s="7">
        <v>22.12</v>
      </c>
      <c r="N37" s="7">
        <v>5540.52</v>
      </c>
      <c r="O37" t="s">
        <v>162</v>
      </c>
      <c r="P37" t="s">
        <v>161</v>
      </c>
      <c r="Q37" t="str">
        <f>IF(L37="","",IF(L37="-Split-",IF(H37="Bank",IF(D37="Journal Entry","Payroll &amp; Benefits",IF(D37="Expense","Credit Card Payments","Journal Entries / Other")),"Journal Entries / Other"),IFERROR(INDEX('Mapping Reference'!$E:$E,MATCH(LEFT(L37,FIND(" ",L37)-1)&amp;" *",'Mapping Reference'!$B:$B,0)),"Unmapped")))</f>
        <v>Site Maintenance</v>
      </c>
    </row>
    <row r="38" spans="1:17" x14ac:dyDescent="0.3">
      <c r="A38" s="2"/>
      <c r="B38" s="6">
        <v>46083</v>
      </c>
      <c r="C38" s="6">
        <v>46112</v>
      </c>
      <c r="D38" s="3" t="s">
        <v>251</v>
      </c>
      <c r="E38" s="154" t="s">
        <v>446</v>
      </c>
      <c r="F38" s="3" t="s">
        <v>545</v>
      </c>
      <c r="G38" s="153">
        <v>21210</v>
      </c>
      <c r="H38" s="3" t="s">
        <v>256</v>
      </c>
      <c r="I38" s="3" t="s">
        <v>272</v>
      </c>
      <c r="J38" s="154" t="s">
        <v>446</v>
      </c>
      <c r="K38" s="154" t="s">
        <v>446</v>
      </c>
      <c r="L38" s="3" t="s">
        <v>439</v>
      </c>
      <c r="M38" s="7">
        <v>151.96</v>
      </c>
      <c r="N38" s="7">
        <v>5692.48</v>
      </c>
      <c r="O38" t="s">
        <v>162</v>
      </c>
      <c r="P38" t="s">
        <v>161</v>
      </c>
      <c r="Q38" t="str">
        <f>IF(L38="","",IF(L38="-Split-",IF(H38="Bank",IF(D38="Journal Entry","Payroll &amp; Benefits",IF(D38="Expense","Credit Card Payments","Journal Entries / Other")),"Journal Entries / Other"),IFERROR(INDEX('Mapping Reference'!$E:$E,MATCH(LEFT(L38,FIND(" ",L38)-1)&amp;" *",'Mapping Reference'!$B:$B,0)),"Unmapped")))</f>
        <v>Unmapped</v>
      </c>
    </row>
    <row r="39" spans="1:17" x14ac:dyDescent="0.3">
      <c r="A39" s="2"/>
      <c r="B39" s="6">
        <v>46083</v>
      </c>
      <c r="C39" s="6">
        <v>46112</v>
      </c>
      <c r="D39" s="3" t="s">
        <v>251</v>
      </c>
      <c r="E39" s="154" t="s">
        <v>446</v>
      </c>
      <c r="F39" s="3" t="s">
        <v>545</v>
      </c>
      <c r="G39" s="153">
        <v>21210</v>
      </c>
      <c r="H39" s="3" t="s">
        <v>256</v>
      </c>
      <c r="I39" s="3" t="s">
        <v>272</v>
      </c>
      <c r="J39" s="154" t="s">
        <v>446</v>
      </c>
      <c r="K39" s="154" t="s">
        <v>446</v>
      </c>
      <c r="L39" s="3" t="s">
        <v>434</v>
      </c>
      <c r="M39" s="7">
        <v>436.37</v>
      </c>
      <c r="N39" s="7">
        <v>6128.85</v>
      </c>
      <c r="O39" t="s">
        <v>162</v>
      </c>
      <c r="P39" t="s">
        <v>161</v>
      </c>
      <c r="Q39" t="str">
        <f>IF(L39="","",IF(L39="-Split-",IF(H39="Bank",IF(D39="Journal Entry","Payroll &amp; Benefits",IF(D39="Expense","Credit Card Payments","Journal Entries / Other")),"Journal Entries / Other"),IFERROR(INDEX('Mapping Reference'!$E:$E,MATCH(LEFT(L39,FIND(" ",L39)-1)&amp;" *",'Mapping Reference'!$B:$B,0)),"Unmapped")))</f>
        <v>Unmapped</v>
      </c>
    </row>
    <row r="40" spans="1:17" x14ac:dyDescent="0.3">
      <c r="A40" s="2"/>
      <c r="B40" s="6">
        <v>46083</v>
      </c>
      <c r="C40" s="6">
        <v>46112</v>
      </c>
      <c r="D40" s="3" t="s">
        <v>251</v>
      </c>
      <c r="E40" s="154" t="s">
        <v>446</v>
      </c>
      <c r="F40" s="3" t="s">
        <v>545</v>
      </c>
      <c r="G40" s="153">
        <v>21210</v>
      </c>
      <c r="H40" s="3" t="s">
        <v>256</v>
      </c>
      <c r="I40" s="3" t="s">
        <v>272</v>
      </c>
      <c r="J40" s="154" t="s">
        <v>446</v>
      </c>
      <c r="K40" s="154" t="s">
        <v>446</v>
      </c>
      <c r="L40" s="3" t="s">
        <v>440</v>
      </c>
      <c r="M40" s="7">
        <v>13.39</v>
      </c>
      <c r="N40" s="7">
        <v>6142.24</v>
      </c>
      <c r="O40" t="s">
        <v>162</v>
      </c>
      <c r="P40" t="s">
        <v>161</v>
      </c>
      <c r="Q40" t="str">
        <f>IF(L40="","",IF(L40="-Split-",IF(H40="Bank",IF(D40="Journal Entry","Payroll &amp; Benefits",IF(D40="Expense","Credit Card Payments","Journal Entries / Other")),"Journal Entries / Other"),IFERROR(INDEX('Mapping Reference'!$E:$E,MATCH(LEFT(L40,FIND(" ",L40)-1)&amp;" *",'Mapping Reference'!$B:$B,0)),"Unmapped")))</f>
        <v>Site Maintenance</v>
      </c>
    </row>
    <row r="41" spans="1:17" x14ac:dyDescent="0.3">
      <c r="A41" s="2"/>
      <c r="B41" s="6">
        <v>46083</v>
      </c>
      <c r="C41" s="6">
        <v>46112</v>
      </c>
      <c r="D41" s="3" t="s">
        <v>251</v>
      </c>
      <c r="E41" s="154" t="s">
        <v>446</v>
      </c>
      <c r="F41" s="3" t="s">
        <v>547</v>
      </c>
      <c r="G41" s="153">
        <v>21230</v>
      </c>
      <c r="H41" s="3" t="s">
        <v>256</v>
      </c>
      <c r="I41" s="3" t="s">
        <v>272</v>
      </c>
      <c r="J41" s="154" t="s">
        <v>446</v>
      </c>
      <c r="K41" s="154" t="s">
        <v>446</v>
      </c>
      <c r="L41" s="3" t="s">
        <v>439</v>
      </c>
      <c r="M41" s="7">
        <v>221.08</v>
      </c>
      <c r="N41" s="7">
        <v>1667.77</v>
      </c>
      <c r="O41" t="s">
        <v>162</v>
      </c>
      <c r="P41" t="s">
        <v>161</v>
      </c>
      <c r="Q41" t="str">
        <f>IF(L41="","",IF(L41="-Split-",IF(H41="Bank",IF(D41="Journal Entry","Payroll &amp; Benefits",IF(D41="Expense","Credit Card Payments","Journal Entries / Other")),"Journal Entries / Other"),IFERROR(INDEX('Mapping Reference'!$E:$E,MATCH(LEFT(L41,FIND(" ",L41)-1)&amp;" *",'Mapping Reference'!$B:$B,0)),"Unmapped")))</f>
        <v>Unmapped</v>
      </c>
    </row>
    <row r="42" spans="1:17" x14ac:dyDescent="0.3">
      <c r="A42" s="2"/>
      <c r="B42" s="6">
        <v>46083</v>
      </c>
      <c r="C42" s="6">
        <v>46112</v>
      </c>
      <c r="D42" s="3" t="s">
        <v>409</v>
      </c>
      <c r="E42" s="154" t="s">
        <v>446</v>
      </c>
      <c r="F42" s="3" t="s">
        <v>174</v>
      </c>
      <c r="G42" s="153">
        <v>23300</v>
      </c>
      <c r="H42" s="3" t="s">
        <v>257</v>
      </c>
      <c r="I42" s="3" t="s">
        <v>273</v>
      </c>
      <c r="J42" s="154" t="s">
        <v>446</v>
      </c>
      <c r="K42" s="154" t="s">
        <v>446</v>
      </c>
      <c r="L42" s="3" t="s">
        <v>141</v>
      </c>
      <c r="M42" s="7">
        <v>2375</v>
      </c>
      <c r="N42" s="7">
        <v>2375</v>
      </c>
      <c r="O42" t="s">
        <v>167</v>
      </c>
      <c r="P42" t="s">
        <v>161</v>
      </c>
      <c r="Q42" t="str">
        <f>IF(L42="","",IF(L42="-Split-",IF(H42="Bank",IF(D42="Journal Entry","Payroll &amp; Benefits",IF(D42="Expense","Credit Card Payments","Journal Entries / Other")),"Journal Entries / Other"),IFERROR(INDEX('Mapping Reference'!$E:$E,MATCH(LEFT(L42,FIND(" ",L42)-1)&amp;" *",'Mapping Reference'!$B:$B,0)),"Unmapped")))</f>
        <v>Accounts Receivable (A/R)</v>
      </c>
    </row>
    <row r="43" spans="1:17" x14ac:dyDescent="0.3">
      <c r="A43" s="2"/>
      <c r="B43" s="6">
        <v>46084</v>
      </c>
      <c r="C43" s="6">
        <v>46112</v>
      </c>
      <c r="D43" s="3" t="s">
        <v>251</v>
      </c>
      <c r="E43" s="154" t="s">
        <v>446</v>
      </c>
      <c r="F43" s="3" t="s">
        <v>545</v>
      </c>
      <c r="G43" s="153">
        <v>21210</v>
      </c>
      <c r="H43" s="3" t="s">
        <v>256</v>
      </c>
      <c r="I43" s="3" t="s">
        <v>272</v>
      </c>
      <c r="J43" s="154" t="s">
        <v>446</v>
      </c>
      <c r="K43" s="154" t="s">
        <v>446</v>
      </c>
      <c r="L43" s="3" t="s">
        <v>434</v>
      </c>
      <c r="M43" s="7">
        <v>13.49</v>
      </c>
      <c r="N43" s="7">
        <v>6155.73</v>
      </c>
      <c r="O43" t="s">
        <v>162</v>
      </c>
      <c r="P43" t="s">
        <v>161</v>
      </c>
      <c r="Q43" t="str">
        <f>IF(L43="","",IF(L43="-Split-",IF(H43="Bank",IF(D43="Journal Entry","Payroll &amp; Benefits",IF(D43="Expense","Credit Card Payments","Journal Entries / Other")),"Journal Entries / Other"),IFERROR(INDEX('Mapping Reference'!$E:$E,MATCH(LEFT(L43,FIND(" ",L43)-1)&amp;" *",'Mapping Reference'!$B:$B,0)),"Unmapped")))</f>
        <v>Unmapped</v>
      </c>
    </row>
    <row r="44" spans="1:17" x14ac:dyDescent="0.3">
      <c r="A44" s="2"/>
      <c r="B44" s="6">
        <v>46084</v>
      </c>
      <c r="C44" s="6">
        <v>46112</v>
      </c>
      <c r="D44" s="3" t="s">
        <v>251</v>
      </c>
      <c r="E44" s="154" t="s">
        <v>446</v>
      </c>
      <c r="F44" s="3" t="s">
        <v>545</v>
      </c>
      <c r="G44" s="153">
        <v>21210</v>
      </c>
      <c r="H44" s="3" t="s">
        <v>256</v>
      </c>
      <c r="I44" s="3" t="s">
        <v>272</v>
      </c>
      <c r="J44" s="154" t="s">
        <v>446</v>
      </c>
      <c r="K44" s="154" t="s">
        <v>446</v>
      </c>
      <c r="L44" s="3" t="s">
        <v>429</v>
      </c>
      <c r="M44" s="7">
        <v>44.92</v>
      </c>
      <c r="N44" s="7">
        <v>6200.65</v>
      </c>
      <c r="O44" t="s">
        <v>162</v>
      </c>
      <c r="P44" t="s">
        <v>161</v>
      </c>
      <c r="Q44" t="str">
        <f>IF(L44="","",IF(L44="-Split-",IF(H44="Bank",IF(D44="Journal Entry","Payroll &amp; Benefits",IF(D44="Expense","Credit Card Payments","Journal Entries / Other")),"Journal Entries / Other"),IFERROR(INDEX('Mapping Reference'!$E:$E,MATCH(LEFT(L44,FIND(" ",L44)-1)&amp;" *",'Mapping Reference'!$B:$B,0)),"Unmapped")))</f>
        <v>Unmapped</v>
      </c>
    </row>
    <row r="45" spans="1:17" x14ac:dyDescent="0.3">
      <c r="A45" s="2"/>
      <c r="B45" s="6">
        <v>46084</v>
      </c>
      <c r="C45" s="6">
        <v>46112</v>
      </c>
      <c r="D45" s="3" t="s">
        <v>251</v>
      </c>
      <c r="E45" s="154" t="s">
        <v>446</v>
      </c>
      <c r="F45" s="3" t="s">
        <v>547</v>
      </c>
      <c r="G45" s="153">
        <v>21230</v>
      </c>
      <c r="H45" s="3" t="s">
        <v>256</v>
      </c>
      <c r="I45" s="3" t="s">
        <v>272</v>
      </c>
      <c r="J45" s="154" t="s">
        <v>446</v>
      </c>
      <c r="K45" s="154" t="s">
        <v>446</v>
      </c>
      <c r="L45" s="3" t="s">
        <v>434</v>
      </c>
      <c r="M45" s="7">
        <v>36.29</v>
      </c>
      <c r="N45" s="7">
        <v>1704.06</v>
      </c>
      <c r="O45" t="s">
        <v>162</v>
      </c>
      <c r="P45" t="s">
        <v>161</v>
      </c>
      <c r="Q45" t="str">
        <f>IF(L45="","",IF(L45="-Split-",IF(H45="Bank",IF(D45="Journal Entry","Payroll &amp; Benefits",IF(D45="Expense","Credit Card Payments","Journal Entries / Other")),"Journal Entries / Other"),IFERROR(INDEX('Mapping Reference'!$E:$E,MATCH(LEFT(L45,FIND(" ",L45)-1)&amp;" *",'Mapping Reference'!$B:$B,0)),"Unmapped")))</f>
        <v>Unmapped</v>
      </c>
    </row>
    <row r="46" spans="1:17" x14ac:dyDescent="0.3">
      <c r="A46" s="2"/>
      <c r="B46" s="6">
        <v>46084</v>
      </c>
      <c r="C46" s="6">
        <v>46112</v>
      </c>
      <c r="D46" s="3" t="s">
        <v>251</v>
      </c>
      <c r="E46" s="154" t="s">
        <v>446</v>
      </c>
      <c r="F46" s="3" t="s">
        <v>547</v>
      </c>
      <c r="G46" s="153">
        <v>21230</v>
      </c>
      <c r="H46" s="3" t="s">
        <v>256</v>
      </c>
      <c r="I46" s="3" t="s">
        <v>272</v>
      </c>
      <c r="J46" s="154" t="s">
        <v>446</v>
      </c>
      <c r="K46" s="154" t="s">
        <v>446</v>
      </c>
      <c r="L46" s="3" t="s">
        <v>438</v>
      </c>
      <c r="M46" s="7">
        <v>587.16</v>
      </c>
      <c r="N46" s="7">
        <v>2291.2199999999998</v>
      </c>
      <c r="O46" t="s">
        <v>162</v>
      </c>
      <c r="P46" t="s">
        <v>161</v>
      </c>
      <c r="Q46" t="str">
        <f>IF(L46="","",IF(L46="-Split-",IF(H46="Bank",IF(D46="Journal Entry","Payroll &amp; Benefits",IF(D46="Expense","Credit Card Payments","Journal Entries / Other")),"Journal Entries / Other"),IFERROR(INDEX('Mapping Reference'!$E:$E,MATCH(LEFT(L46,FIND(" ",L46)-1)&amp;" *",'Mapping Reference'!$B:$B,0)),"Unmapped")))</f>
        <v>Unmapped</v>
      </c>
    </row>
    <row r="47" spans="1:17" x14ac:dyDescent="0.3">
      <c r="A47" s="2"/>
      <c r="B47" s="6">
        <v>46085</v>
      </c>
      <c r="C47" s="6">
        <v>46112</v>
      </c>
      <c r="D47" s="3" t="s">
        <v>251</v>
      </c>
      <c r="E47" s="154" t="s">
        <v>446</v>
      </c>
      <c r="F47" s="3" t="s">
        <v>553</v>
      </c>
      <c r="G47" s="153">
        <v>11010</v>
      </c>
      <c r="H47" s="3" t="s">
        <v>254</v>
      </c>
      <c r="I47" s="3" t="s">
        <v>262</v>
      </c>
      <c r="J47" s="154" t="s">
        <v>446</v>
      </c>
      <c r="K47" s="154" t="s">
        <v>446</v>
      </c>
      <c r="L47" s="3" t="s">
        <v>437</v>
      </c>
      <c r="M47" s="7">
        <v>-25.75</v>
      </c>
      <c r="N47" s="7">
        <v>183952.41</v>
      </c>
      <c r="O47" t="s">
        <v>232</v>
      </c>
      <c r="P47" t="s">
        <v>137</v>
      </c>
      <c r="Q47" t="str">
        <f>IF(L47="","",IF(L47="-Split-",IF(H47="Bank",IF(D47="Journal Entry","Payroll &amp; Benefits",IF(D47="Expense","Credit Card Payments","Journal Entries / Other")),"Journal Entries / Other"),IFERROR(INDEX('Mapping Reference'!$E:$E,MATCH(LEFT(L47,FIND(" ",L47)-1)&amp;" *",'Mapping Reference'!$B:$B,0)),"Unmapped")))</f>
        <v>Other G&amp;A</v>
      </c>
    </row>
    <row r="48" spans="1:17" x14ac:dyDescent="0.3">
      <c r="A48" s="2"/>
      <c r="B48" s="6">
        <v>46085</v>
      </c>
      <c r="C48" s="6">
        <v>46112</v>
      </c>
      <c r="D48" s="3" t="s">
        <v>251</v>
      </c>
      <c r="E48" s="154" t="s">
        <v>446</v>
      </c>
      <c r="F48" s="3" t="s">
        <v>553</v>
      </c>
      <c r="G48" s="153">
        <v>11010</v>
      </c>
      <c r="H48" s="3" t="s">
        <v>254</v>
      </c>
      <c r="I48" s="3" t="s">
        <v>262</v>
      </c>
      <c r="J48" s="154" t="s">
        <v>446</v>
      </c>
      <c r="K48" s="154" t="s">
        <v>446</v>
      </c>
      <c r="L48" s="3" t="s">
        <v>168</v>
      </c>
      <c r="M48" s="7">
        <v>-439.11</v>
      </c>
      <c r="N48" s="7">
        <v>183513.3</v>
      </c>
      <c r="O48" t="s">
        <v>232</v>
      </c>
      <c r="P48" t="s">
        <v>137</v>
      </c>
      <c r="Q48" t="str">
        <f>IF(L48="","",IF(L48="-Split-",IF(H48="Bank",IF(D48="Journal Entry","Payroll &amp; Benefits",IF(D48="Expense","Credit Card Payments","Journal Entries / Other")),"Journal Entries / Other"),IFERROR(INDEX('Mapping Reference'!$E:$E,MATCH(LEFT(L48,FIND(" ",L48)-1)&amp;" *",'Mapping Reference'!$B:$B,0)),"Unmapped")))</f>
        <v>Other Current Liabilities</v>
      </c>
    </row>
    <row r="49" spans="1:17" x14ac:dyDescent="0.3">
      <c r="A49" s="2"/>
      <c r="B49" s="6">
        <v>46085</v>
      </c>
      <c r="C49" s="6">
        <v>46112</v>
      </c>
      <c r="D49" s="3" t="s">
        <v>251</v>
      </c>
      <c r="E49" s="154" t="s">
        <v>446</v>
      </c>
      <c r="F49" s="3" t="s">
        <v>553</v>
      </c>
      <c r="G49" s="153">
        <v>11010</v>
      </c>
      <c r="H49" s="3" t="s">
        <v>254</v>
      </c>
      <c r="I49" s="3" t="s">
        <v>262</v>
      </c>
      <c r="J49" s="154" t="s">
        <v>446</v>
      </c>
      <c r="K49" s="154" t="s">
        <v>446</v>
      </c>
      <c r="L49" s="3" t="s">
        <v>168</v>
      </c>
      <c r="M49" s="7">
        <v>-162.32</v>
      </c>
      <c r="N49" s="7">
        <v>183350.98</v>
      </c>
      <c r="O49" t="s">
        <v>232</v>
      </c>
      <c r="P49" t="s">
        <v>137</v>
      </c>
      <c r="Q49" t="str">
        <f>IF(L49="","",IF(L49="-Split-",IF(H49="Bank",IF(D49="Journal Entry","Payroll &amp; Benefits",IF(D49="Expense","Credit Card Payments","Journal Entries / Other")),"Journal Entries / Other"),IFERROR(INDEX('Mapping Reference'!$E:$E,MATCH(LEFT(L49,FIND(" ",L49)-1)&amp;" *",'Mapping Reference'!$B:$B,0)),"Unmapped")))</f>
        <v>Other Current Liabilities</v>
      </c>
    </row>
    <row r="50" spans="1:17" x14ac:dyDescent="0.3">
      <c r="A50" s="2"/>
      <c r="B50" s="6">
        <v>46085</v>
      </c>
      <c r="C50" s="6">
        <v>46112</v>
      </c>
      <c r="D50" s="3" t="s">
        <v>251</v>
      </c>
      <c r="E50" s="154" t="s">
        <v>446</v>
      </c>
      <c r="F50" s="3" t="s">
        <v>553</v>
      </c>
      <c r="G50" s="153">
        <v>11010</v>
      </c>
      <c r="H50" s="3" t="s">
        <v>254</v>
      </c>
      <c r="I50" s="3" t="s">
        <v>262</v>
      </c>
      <c r="J50" s="154" t="s">
        <v>446</v>
      </c>
      <c r="K50" s="154" t="s">
        <v>446</v>
      </c>
      <c r="L50" s="3" t="s">
        <v>168</v>
      </c>
      <c r="M50" s="7">
        <v>-485.11</v>
      </c>
      <c r="N50" s="7">
        <v>182865.87</v>
      </c>
      <c r="O50" t="s">
        <v>232</v>
      </c>
      <c r="P50" t="s">
        <v>137</v>
      </c>
      <c r="Q50" t="str">
        <f>IF(L50="","",IF(L50="-Split-",IF(H50="Bank",IF(D50="Journal Entry","Payroll &amp; Benefits",IF(D50="Expense","Credit Card Payments","Journal Entries / Other")),"Journal Entries / Other"),IFERROR(INDEX('Mapping Reference'!$E:$E,MATCH(LEFT(L50,FIND(" ",L50)-1)&amp;" *",'Mapping Reference'!$B:$B,0)),"Unmapped")))</f>
        <v>Other Current Liabilities</v>
      </c>
    </row>
    <row r="51" spans="1:17" x14ac:dyDescent="0.3">
      <c r="A51" s="2"/>
      <c r="B51" s="6">
        <v>46085</v>
      </c>
      <c r="C51" s="6">
        <v>46112</v>
      </c>
      <c r="D51" s="3" t="s">
        <v>251</v>
      </c>
      <c r="E51" s="154" t="s">
        <v>446</v>
      </c>
      <c r="F51" s="3" t="s">
        <v>553</v>
      </c>
      <c r="G51" s="153">
        <v>11010</v>
      </c>
      <c r="H51" s="3" t="s">
        <v>254</v>
      </c>
      <c r="I51" s="3" t="s">
        <v>262</v>
      </c>
      <c r="J51" s="154" t="s">
        <v>446</v>
      </c>
      <c r="K51" s="154" t="s">
        <v>446</v>
      </c>
      <c r="L51" s="3" t="s">
        <v>168</v>
      </c>
      <c r="M51" s="7">
        <v>-235.87</v>
      </c>
      <c r="N51" s="7">
        <v>182630</v>
      </c>
      <c r="O51" t="s">
        <v>232</v>
      </c>
      <c r="P51" t="s">
        <v>137</v>
      </c>
      <c r="Q51" t="str">
        <f>IF(L51="","",IF(L51="-Split-",IF(H51="Bank",IF(D51="Journal Entry","Payroll &amp; Benefits",IF(D51="Expense","Credit Card Payments","Journal Entries / Other")),"Journal Entries / Other"),IFERROR(INDEX('Mapping Reference'!$E:$E,MATCH(LEFT(L51,FIND(" ",L51)-1)&amp;" *",'Mapping Reference'!$B:$B,0)),"Unmapped")))</f>
        <v>Other Current Liabilities</v>
      </c>
    </row>
    <row r="52" spans="1:17" x14ac:dyDescent="0.3">
      <c r="A52" s="2"/>
      <c r="B52" s="6">
        <v>46085</v>
      </c>
      <c r="C52" s="6">
        <v>46112</v>
      </c>
      <c r="D52" s="3" t="s">
        <v>251</v>
      </c>
      <c r="E52" s="154" t="s">
        <v>446</v>
      </c>
      <c r="F52" s="3" t="s">
        <v>545</v>
      </c>
      <c r="G52" s="153">
        <v>21210</v>
      </c>
      <c r="H52" s="3" t="s">
        <v>256</v>
      </c>
      <c r="I52" s="3" t="s">
        <v>272</v>
      </c>
      <c r="J52" s="154" t="s">
        <v>446</v>
      </c>
      <c r="K52" s="154" t="s">
        <v>446</v>
      </c>
      <c r="L52" s="3" t="s">
        <v>429</v>
      </c>
      <c r="M52" s="7">
        <v>19.8</v>
      </c>
      <c r="N52" s="7">
        <v>6220.45</v>
      </c>
      <c r="O52" t="s">
        <v>162</v>
      </c>
      <c r="P52" t="s">
        <v>161</v>
      </c>
      <c r="Q52" t="str">
        <f>IF(L52="","",IF(L52="-Split-",IF(H52="Bank",IF(D52="Journal Entry","Payroll &amp; Benefits",IF(D52="Expense","Credit Card Payments","Journal Entries / Other")),"Journal Entries / Other"),IFERROR(INDEX('Mapping Reference'!$E:$E,MATCH(LEFT(L52,FIND(" ",L52)-1)&amp;" *",'Mapping Reference'!$B:$B,0)),"Unmapped")))</f>
        <v>Unmapped</v>
      </c>
    </row>
    <row r="53" spans="1:17" x14ac:dyDescent="0.3">
      <c r="A53" s="2"/>
      <c r="B53" s="6">
        <v>46085</v>
      </c>
      <c r="C53" s="6">
        <v>46112</v>
      </c>
      <c r="D53" s="3" t="s">
        <v>251</v>
      </c>
      <c r="E53" s="154" t="s">
        <v>446</v>
      </c>
      <c r="F53" s="3" t="s">
        <v>545</v>
      </c>
      <c r="G53" s="153">
        <v>21210</v>
      </c>
      <c r="H53" s="3" t="s">
        <v>256</v>
      </c>
      <c r="I53" s="3" t="s">
        <v>272</v>
      </c>
      <c r="J53" s="154" t="s">
        <v>446</v>
      </c>
      <c r="K53" s="154" t="s">
        <v>446</v>
      </c>
      <c r="L53" s="3" t="s">
        <v>436</v>
      </c>
      <c r="M53" s="7">
        <v>2170</v>
      </c>
      <c r="N53" s="7">
        <v>8390.4500000000007</v>
      </c>
      <c r="O53" t="s">
        <v>162</v>
      </c>
      <c r="P53" t="s">
        <v>161</v>
      </c>
      <c r="Q53" t="str">
        <f>IF(L53="","",IF(L53="-Split-",IF(H53="Bank",IF(D53="Journal Entry","Payroll &amp; Benefits",IF(D53="Expense","Credit Card Payments","Journal Entries / Other")),"Journal Entries / Other"),IFERROR(INDEX('Mapping Reference'!$E:$E,MATCH(LEFT(L53,FIND(" ",L53)-1)&amp;" *",'Mapping Reference'!$B:$B,0)),"Unmapped")))</f>
        <v>Business Development</v>
      </c>
    </row>
    <row r="54" spans="1:17" x14ac:dyDescent="0.3">
      <c r="A54" s="2"/>
      <c r="B54" s="6">
        <v>46085</v>
      </c>
      <c r="C54" s="6">
        <v>46112</v>
      </c>
      <c r="D54" s="3" t="s">
        <v>251</v>
      </c>
      <c r="E54" s="154" t="s">
        <v>446</v>
      </c>
      <c r="F54" s="3" t="s">
        <v>545</v>
      </c>
      <c r="G54" s="153">
        <v>21210</v>
      </c>
      <c r="H54" s="3" t="s">
        <v>256</v>
      </c>
      <c r="I54" s="3" t="s">
        <v>272</v>
      </c>
      <c r="J54" s="154" t="s">
        <v>446</v>
      </c>
      <c r="K54" s="154" t="s">
        <v>446</v>
      </c>
      <c r="L54" s="3" t="s">
        <v>435</v>
      </c>
      <c r="M54" s="7">
        <v>260.72000000000003</v>
      </c>
      <c r="N54" s="7">
        <v>8651.17</v>
      </c>
      <c r="O54" t="s">
        <v>162</v>
      </c>
      <c r="P54" t="s">
        <v>161</v>
      </c>
      <c r="Q54" t="str">
        <f>IF(L54="","",IF(L54="-Split-",IF(H54="Bank",IF(D54="Journal Entry","Payroll &amp; Benefits",IF(D54="Expense","Credit Card Payments","Journal Entries / Other")),"Journal Entries / Other"),IFERROR(INDEX('Mapping Reference'!$E:$E,MATCH(LEFT(L54,FIND(" ",L54)-1)&amp;" *",'Mapping Reference'!$B:$B,0)),"Unmapped")))</f>
        <v>Site Maintenance</v>
      </c>
    </row>
    <row r="55" spans="1:17" x14ac:dyDescent="0.3">
      <c r="A55" s="2"/>
      <c r="B55" s="6">
        <v>46085</v>
      </c>
      <c r="C55" s="6">
        <v>46112</v>
      </c>
      <c r="D55" s="3" t="s">
        <v>251</v>
      </c>
      <c r="E55" s="154" t="s">
        <v>446</v>
      </c>
      <c r="F55" s="3" t="s">
        <v>168</v>
      </c>
      <c r="G55" s="153">
        <v>22100</v>
      </c>
      <c r="H55" s="3" t="s">
        <v>257</v>
      </c>
      <c r="I55" s="3" t="s">
        <v>281</v>
      </c>
      <c r="J55" s="154" t="s">
        <v>446</v>
      </c>
      <c r="K55" s="154" t="s">
        <v>446</v>
      </c>
      <c r="L55" s="3" t="s">
        <v>553</v>
      </c>
      <c r="M55" s="7">
        <v>-439.11</v>
      </c>
      <c r="N55" s="7">
        <v>8013.69</v>
      </c>
      <c r="O55" t="s">
        <v>167</v>
      </c>
      <c r="P55" t="s">
        <v>161</v>
      </c>
      <c r="Q55" t="str">
        <f>IF(L55="","",IF(L55="-Split-",IF(H55="Bank",IF(D55="Journal Entry","Payroll &amp; Benefits",IF(D55="Expense","Credit Card Payments","Journal Entries / Other")),"Journal Entries / Other"),IFERROR(INDEX('Mapping Reference'!$E:$E,MATCH(LEFT(L55,FIND(" ",L55)-1)&amp;" *",'Mapping Reference'!$B:$B,0)),"Unmapped")))</f>
        <v>Cash &amp; Cash Equivalents</v>
      </c>
    </row>
    <row r="56" spans="1:17" x14ac:dyDescent="0.3">
      <c r="A56" s="2"/>
      <c r="B56" s="6">
        <v>46085</v>
      </c>
      <c r="C56" s="6">
        <v>46112</v>
      </c>
      <c r="D56" s="3" t="s">
        <v>251</v>
      </c>
      <c r="E56" s="154" t="s">
        <v>446</v>
      </c>
      <c r="F56" s="3" t="s">
        <v>168</v>
      </c>
      <c r="G56" s="153">
        <v>22100</v>
      </c>
      <c r="H56" s="3" t="s">
        <v>257</v>
      </c>
      <c r="I56" s="3" t="s">
        <v>281</v>
      </c>
      <c r="J56" s="154" t="s">
        <v>446</v>
      </c>
      <c r="K56" s="154" t="s">
        <v>446</v>
      </c>
      <c r="L56" s="3" t="s">
        <v>553</v>
      </c>
      <c r="M56" s="7">
        <v>-485.11</v>
      </c>
      <c r="N56" s="7">
        <v>7528.58</v>
      </c>
      <c r="O56" t="s">
        <v>167</v>
      </c>
      <c r="P56" t="s">
        <v>161</v>
      </c>
      <c r="Q56" t="str">
        <f>IF(L56="","",IF(L56="-Split-",IF(H56="Bank",IF(D56="Journal Entry","Payroll &amp; Benefits",IF(D56="Expense","Credit Card Payments","Journal Entries / Other")),"Journal Entries / Other"),IFERROR(INDEX('Mapping Reference'!$E:$E,MATCH(LEFT(L56,FIND(" ",L56)-1)&amp;" *",'Mapping Reference'!$B:$B,0)),"Unmapped")))</f>
        <v>Cash &amp; Cash Equivalents</v>
      </c>
    </row>
    <row r="57" spans="1:17" x14ac:dyDescent="0.3">
      <c r="A57" s="2"/>
      <c r="B57" s="6">
        <v>46085</v>
      </c>
      <c r="C57" s="6">
        <v>46112</v>
      </c>
      <c r="D57" s="3" t="s">
        <v>251</v>
      </c>
      <c r="E57" s="154" t="s">
        <v>446</v>
      </c>
      <c r="F57" s="3" t="s">
        <v>168</v>
      </c>
      <c r="G57" s="153">
        <v>22100</v>
      </c>
      <c r="H57" s="3" t="s">
        <v>257</v>
      </c>
      <c r="I57" s="3" t="s">
        <v>281</v>
      </c>
      <c r="J57" s="154" t="s">
        <v>446</v>
      </c>
      <c r="K57" s="154" t="s">
        <v>446</v>
      </c>
      <c r="L57" s="3" t="s">
        <v>553</v>
      </c>
      <c r="M57" s="7">
        <v>-162.32</v>
      </c>
      <c r="N57" s="7">
        <v>7366.26</v>
      </c>
      <c r="O57" t="s">
        <v>167</v>
      </c>
      <c r="P57" t="s">
        <v>161</v>
      </c>
      <c r="Q57" t="str">
        <f>IF(L57="","",IF(L57="-Split-",IF(H57="Bank",IF(D57="Journal Entry","Payroll &amp; Benefits",IF(D57="Expense","Credit Card Payments","Journal Entries / Other")),"Journal Entries / Other"),IFERROR(INDEX('Mapping Reference'!$E:$E,MATCH(LEFT(L57,FIND(" ",L57)-1)&amp;" *",'Mapping Reference'!$B:$B,0)),"Unmapped")))</f>
        <v>Cash &amp; Cash Equivalents</v>
      </c>
    </row>
    <row r="58" spans="1:17" x14ac:dyDescent="0.3">
      <c r="A58" s="2"/>
      <c r="B58" s="6">
        <v>46085</v>
      </c>
      <c r="C58" s="6">
        <v>46112</v>
      </c>
      <c r="D58" s="3" t="s">
        <v>251</v>
      </c>
      <c r="E58" s="154" t="s">
        <v>446</v>
      </c>
      <c r="F58" s="3" t="s">
        <v>168</v>
      </c>
      <c r="G58" s="153">
        <v>22100</v>
      </c>
      <c r="H58" s="3" t="s">
        <v>257</v>
      </c>
      <c r="I58" s="3" t="s">
        <v>281</v>
      </c>
      <c r="J58" s="154" t="s">
        <v>446</v>
      </c>
      <c r="K58" s="154" t="s">
        <v>446</v>
      </c>
      <c r="L58" s="3" t="s">
        <v>553</v>
      </c>
      <c r="M58" s="7">
        <v>-235.87</v>
      </c>
      <c r="N58" s="7">
        <v>7130.39</v>
      </c>
      <c r="O58" t="s">
        <v>167</v>
      </c>
      <c r="P58" t="s">
        <v>161</v>
      </c>
      <c r="Q58" t="str">
        <f>IF(L58="","",IF(L58="-Split-",IF(H58="Bank",IF(D58="Journal Entry","Payroll &amp; Benefits",IF(D58="Expense","Credit Card Payments","Journal Entries / Other")),"Journal Entries / Other"),IFERROR(INDEX('Mapping Reference'!$E:$E,MATCH(LEFT(L58,FIND(" ",L58)-1)&amp;" *",'Mapping Reference'!$B:$B,0)),"Unmapped")))</f>
        <v>Cash &amp; Cash Equivalents</v>
      </c>
    </row>
    <row r="59" spans="1:17" x14ac:dyDescent="0.3">
      <c r="A59" s="2"/>
      <c r="B59" s="6">
        <v>46086</v>
      </c>
      <c r="C59" s="6">
        <v>46112</v>
      </c>
      <c r="D59" s="3" t="s">
        <v>251</v>
      </c>
      <c r="E59" s="154" t="s">
        <v>446</v>
      </c>
      <c r="F59" s="3" t="s">
        <v>545</v>
      </c>
      <c r="G59" s="153">
        <v>21210</v>
      </c>
      <c r="H59" s="3" t="s">
        <v>256</v>
      </c>
      <c r="I59" s="3" t="s">
        <v>272</v>
      </c>
      <c r="J59" s="154" t="s">
        <v>446</v>
      </c>
      <c r="K59" s="154" t="s">
        <v>446</v>
      </c>
      <c r="L59" s="3" t="s">
        <v>429</v>
      </c>
      <c r="M59" s="7">
        <v>10.95</v>
      </c>
      <c r="N59" s="7">
        <v>8662.1200000000008</v>
      </c>
      <c r="O59" t="s">
        <v>162</v>
      </c>
      <c r="P59" t="s">
        <v>161</v>
      </c>
      <c r="Q59" t="str">
        <f>IF(L59="","",IF(L59="-Split-",IF(H59="Bank",IF(D59="Journal Entry","Payroll &amp; Benefits",IF(D59="Expense","Credit Card Payments","Journal Entries / Other")),"Journal Entries / Other"),IFERROR(INDEX('Mapping Reference'!$E:$E,MATCH(LEFT(L59,FIND(" ",L59)-1)&amp;" *",'Mapping Reference'!$B:$B,0)),"Unmapped")))</f>
        <v>Unmapped</v>
      </c>
    </row>
    <row r="60" spans="1:17" x14ac:dyDescent="0.3">
      <c r="A60" s="2"/>
      <c r="B60" s="6">
        <v>46086</v>
      </c>
      <c r="C60" s="6">
        <v>46112</v>
      </c>
      <c r="D60" s="3" t="s">
        <v>251</v>
      </c>
      <c r="E60" s="154" t="s">
        <v>446</v>
      </c>
      <c r="F60" s="3" t="s">
        <v>545</v>
      </c>
      <c r="G60" s="153">
        <v>21210</v>
      </c>
      <c r="H60" s="3" t="s">
        <v>256</v>
      </c>
      <c r="I60" s="3" t="s">
        <v>272</v>
      </c>
      <c r="J60" s="154" t="s">
        <v>446</v>
      </c>
      <c r="K60" s="154" t="s">
        <v>446</v>
      </c>
      <c r="L60" s="3" t="s">
        <v>429</v>
      </c>
      <c r="M60" s="7">
        <v>27.43</v>
      </c>
      <c r="N60" s="7">
        <v>8689.5499999999993</v>
      </c>
      <c r="O60" t="s">
        <v>162</v>
      </c>
      <c r="P60" t="s">
        <v>161</v>
      </c>
      <c r="Q60" t="str">
        <f>IF(L60="","",IF(L60="-Split-",IF(H60="Bank",IF(D60="Journal Entry","Payroll &amp; Benefits",IF(D60="Expense","Credit Card Payments","Journal Entries / Other")),"Journal Entries / Other"),IFERROR(INDEX('Mapping Reference'!$E:$E,MATCH(LEFT(L60,FIND(" ",L60)-1)&amp;" *",'Mapping Reference'!$B:$B,0)),"Unmapped")))</f>
        <v>Unmapped</v>
      </c>
    </row>
    <row r="61" spans="1:17" x14ac:dyDescent="0.3">
      <c r="A61" s="2"/>
      <c r="B61" s="6">
        <v>46086</v>
      </c>
      <c r="C61" s="6">
        <v>46112</v>
      </c>
      <c r="D61" s="3" t="s">
        <v>251</v>
      </c>
      <c r="E61" s="154" t="s">
        <v>446</v>
      </c>
      <c r="F61" s="3" t="s">
        <v>545</v>
      </c>
      <c r="G61" s="153">
        <v>21210</v>
      </c>
      <c r="H61" s="3" t="s">
        <v>256</v>
      </c>
      <c r="I61" s="3" t="s">
        <v>272</v>
      </c>
      <c r="J61" s="154" t="s">
        <v>446</v>
      </c>
      <c r="K61" s="154" t="s">
        <v>446</v>
      </c>
      <c r="L61" s="3" t="s">
        <v>429</v>
      </c>
      <c r="M61" s="7">
        <v>12.49</v>
      </c>
      <c r="N61" s="7">
        <v>8702.0400000000009</v>
      </c>
      <c r="O61" t="s">
        <v>162</v>
      </c>
      <c r="P61" t="s">
        <v>161</v>
      </c>
      <c r="Q61" t="str">
        <f>IF(L61="","",IF(L61="-Split-",IF(H61="Bank",IF(D61="Journal Entry","Payroll &amp; Benefits",IF(D61="Expense","Credit Card Payments","Journal Entries / Other")),"Journal Entries / Other"),IFERROR(INDEX('Mapping Reference'!$E:$E,MATCH(LEFT(L61,FIND(" ",L61)-1)&amp;" *",'Mapping Reference'!$B:$B,0)),"Unmapped")))</f>
        <v>Unmapped</v>
      </c>
    </row>
    <row r="62" spans="1:17" x14ac:dyDescent="0.3">
      <c r="A62" s="2"/>
      <c r="B62" s="6">
        <v>46086</v>
      </c>
      <c r="C62" s="6">
        <v>46112</v>
      </c>
      <c r="D62" s="3" t="s">
        <v>251</v>
      </c>
      <c r="E62" s="154" t="s">
        <v>446</v>
      </c>
      <c r="F62" s="3" t="s">
        <v>545</v>
      </c>
      <c r="G62" s="153">
        <v>21210</v>
      </c>
      <c r="H62" s="3" t="s">
        <v>256</v>
      </c>
      <c r="I62" s="3" t="s">
        <v>272</v>
      </c>
      <c r="J62" s="154" t="s">
        <v>446</v>
      </c>
      <c r="K62" s="154" t="s">
        <v>446</v>
      </c>
      <c r="L62" s="3" t="s">
        <v>429</v>
      </c>
      <c r="M62" s="7">
        <v>11.08</v>
      </c>
      <c r="N62" s="7">
        <v>8713.1200000000008</v>
      </c>
      <c r="O62" t="s">
        <v>162</v>
      </c>
      <c r="P62" t="s">
        <v>161</v>
      </c>
      <c r="Q62" t="str">
        <f>IF(L62="","",IF(L62="-Split-",IF(H62="Bank",IF(D62="Journal Entry","Payroll &amp; Benefits",IF(D62="Expense","Credit Card Payments","Journal Entries / Other")),"Journal Entries / Other"),IFERROR(INDEX('Mapping Reference'!$E:$E,MATCH(LEFT(L62,FIND(" ",L62)-1)&amp;" *",'Mapping Reference'!$B:$B,0)),"Unmapped")))</f>
        <v>Unmapped</v>
      </c>
    </row>
    <row r="63" spans="1:17" x14ac:dyDescent="0.3">
      <c r="A63" s="2"/>
      <c r="B63" s="6">
        <v>46086</v>
      </c>
      <c r="C63" s="6">
        <v>46112</v>
      </c>
      <c r="D63" s="3" t="s">
        <v>251</v>
      </c>
      <c r="E63" s="154" t="s">
        <v>446</v>
      </c>
      <c r="F63" s="3" t="s">
        <v>545</v>
      </c>
      <c r="G63" s="153">
        <v>21210</v>
      </c>
      <c r="H63" s="3" t="s">
        <v>256</v>
      </c>
      <c r="I63" s="3" t="s">
        <v>272</v>
      </c>
      <c r="J63" s="154" t="s">
        <v>446</v>
      </c>
      <c r="K63" s="154" t="s">
        <v>446</v>
      </c>
      <c r="L63" s="3" t="s">
        <v>422</v>
      </c>
      <c r="M63" s="7">
        <v>128.94</v>
      </c>
      <c r="N63" s="7">
        <v>8842.06</v>
      </c>
      <c r="O63" t="s">
        <v>162</v>
      </c>
      <c r="P63" t="s">
        <v>161</v>
      </c>
      <c r="Q63" t="str">
        <f>IF(L63="","",IF(L63="-Split-",IF(H63="Bank",IF(D63="Journal Entry","Payroll &amp; Benefits",IF(D63="Expense","Credit Card Payments","Journal Entries / Other")),"Journal Entries / Other"),IFERROR(INDEX('Mapping Reference'!$E:$E,MATCH(LEFT(L63,FIND(" ",L63)-1)&amp;" *",'Mapping Reference'!$B:$B,0)),"Unmapped")))</f>
        <v>Software</v>
      </c>
    </row>
    <row r="64" spans="1:17" x14ac:dyDescent="0.3">
      <c r="A64" s="2"/>
      <c r="B64" s="6">
        <v>46086</v>
      </c>
      <c r="C64" s="6">
        <v>46112</v>
      </c>
      <c r="D64" s="3" t="s">
        <v>251</v>
      </c>
      <c r="E64" s="154" t="s">
        <v>446</v>
      </c>
      <c r="F64" s="3" t="s">
        <v>547</v>
      </c>
      <c r="G64" s="153">
        <v>21230</v>
      </c>
      <c r="H64" s="3" t="s">
        <v>256</v>
      </c>
      <c r="I64" s="3" t="s">
        <v>272</v>
      </c>
      <c r="J64" s="154" t="s">
        <v>446</v>
      </c>
      <c r="K64" s="154" t="s">
        <v>446</v>
      </c>
      <c r="L64" s="3" t="s">
        <v>434</v>
      </c>
      <c r="M64" s="7">
        <v>40.6</v>
      </c>
      <c r="N64" s="7">
        <v>2331.8200000000002</v>
      </c>
      <c r="O64" t="s">
        <v>162</v>
      </c>
      <c r="P64" t="s">
        <v>161</v>
      </c>
      <c r="Q64" t="str">
        <f>IF(L64="","",IF(L64="-Split-",IF(H64="Bank",IF(D64="Journal Entry","Payroll &amp; Benefits",IF(D64="Expense","Credit Card Payments","Journal Entries / Other")),"Journal Entries / Other"),IFERROR(INDEX('Mapping Reference'!$E:$E,MATCH(LEFT(L64,FIND(" ",L64)-1)&amp;" *",'Mapping Reference'!$B:$B,0)),"Unmapped")))</f>
        <v>Unmapped</v>
      </c>
    </row>
    <row r="65" spans="1:17" x14ac:dyDescent="0.3">
      <c r="A65" s="2"/>
      <c r="B65" s="6">
        <v>46088</v>
      </c>
      <c r="C65" s="6">
        <v>46112</v>
      </c>
      <c r="D65" s="3" t="s">
        <v>419</v>
      </c>
      <c r="E65" s="154" t="s">
        <v>446</v>
      </c>
      <c r="F65" s="3" t="s">
        <v>553</v>
      </c>
      <c r="G65" s="153">
        <v>11010</v>
      </c>
      <c r="H65" s="3" t="s">
        <v>254</v>
      </c>
      <c r="I65" s="3" t="s">
        <v>262</v>
      </c>
      <c r="J65" s="154" t="s">
        <v>446</v>
      </c>
      <c r="K65" s="154" t="s">
        <v>446</v>
      </c>
      <c r="L65" s="3" t="s">
        <v>141</v>
      </c>
      <c r="M65" s="7">
        <v>180</v>
      </c>
      <c r="N65" s="7">
        <v>182810</v>
      </c>
      <c r="O65" t="s">
        <v>232</v>
      </c>
      <c r="P65" t="s">
        <v>137</v>
      </c>
      <c r="Q65" t="str">
        <f>IF(L65="","",IF(L65="-Split-",IF(H65="Bank",IF(D65="Journal Entry","Payroll &amp; Benefits",IF(D65="Expense","Credit Card Payments","Journal Entries / Other")),"Journal Entries / Other"),IFERROR(INDEX('Mapping Reference'!$E:$E,MATCH(LEFT(L65,FIND(" ",L65)-1)&amp;" *",'Mapping Reference'!$B:$B,0)),"Unmapped")))</f>
        <v>Accounts Receivable (A/R)</v>
      </c>
    </row>
    <row r="66" spans="1:17" x14ac:dyDescent="0.3">
      <c r="A66" s="2"/>
      <c r="B66" s="6">
        <v>46088</v>
      </c>
      <c r="C66" s="6">
        <v>46112</v>
      </c>
      <c r="D66" s="3" t="s">
        <v>419</v>
      </c>
      <c r="E66" s="154" t="s">
        <v>446</v>
      </c>
      <c r="F66" s="3" t="s">
        <v>553</v>
      </c>
      <c r="G66" s="153">
        <v>11010</v>
      </c>
      <c r="H66" s="3" t="s">
        <v>254</v>
      </c>
      <c r="I66" s="3" t="s">
        <v>262</v>
      </c>
      <c r="J66" s="154" t="s">
        <v>446</v>
      </c>
      <c r="K66" s="154" t="s">
        <v>446</v>
      </c>
      <c r="L66" s="3" t="s">
        <v>141</v>
      </c>
      <c r="M66" s="7">
        <v>180</v>
      </c>
      <c r="N66" s="7">
        <v>182990</v>
      </c>
      <c r="O66" t="s">
        <v>232</v>
      </c>
      <c r="P66" t="s">
        <v>137</v>
      </c>
      <c r="Q66" t="str">
        <f>IF(L66="","",IF(L66="-Split-",IF(H66="Bank",IF(D66="Journal Entry","Payroll &amp; Benefits",IF(D66="Expense","Credit Card Payments","Journal Entries / Other")),"Journal Entries / Other"),IFERROR(INDEX('Mapping Reference'!$E:$E,MATCH(LEFT(L66,FIND(" ",L66)-1)&amp;" *",'Mapping Reference'!$B:$B,0)),"Unmapped")))</f>
        <v>Accounts Receivable (A/R)</v>
      </c>
    </row>
    <row r="67" spans="1:17" x14ac:dyDescent="0.3">
      <c r="A67" s="2"/>
      <c r="B67" s="6">
        <v>46088</v>
      </c>
      <c r="C67" s="6">
        <v>46112</v>
      </c>
      <c r="D67" s="3" t="s">
        <v>419</v>
      </c>
      <c r="E67" s="154" t="s">
        <v>446</v>
      </c>
      <c r="F67" s="3" t="s">
        <v>141</v>
      </c>
      <c r="G67" s="153">
        <v>12100</v>
      </c>
      <c r="H67" s="3" t="s">
        <v>140</v>
      </c>
      <c r="I67" s="3" t="s">
        <v>264</v>
      </c>
      <c r="J67" s="154" t="s">
        <v>446</v>
      </c>
      <c r="K67" s="154" t="s">
        <v>446</v>
      </c>
      <c r="L67" s="3" t="s">
        <v>553</v>
      </c>
      <c r="M67" s="7">
        <v>-180</v>
      </c>
      <c r="N67" s="7">
        <v>183698.71</v>
      </c>
      <c r="O67" t="s">
        <v>233</v>
      </c>
      <c r="P67" t="s">
        <v>137</v>
      </c>
      <c r="Q67" t="str">
        <f>IF(L67="","",IF(L67="-Split-",IF(H67="Bank",IF(D67="Journal Entry","Payroll &amp; Benefits",IF(D67="Expense","Credit Card Payments","Journal Entries / Other")),"Journal Entries / Other"),IFERROR(INDEX('Mapping Reference'!$E:$E,MATCH(LEFT(L67,FIND(" ",L67)-1)&amp;" *",'Mapping Reference'!$B:$B,0)),"Unmapped")))</f>
        <v>Cash &amp; Cash Equivalents</v>
      </c>
    </row>
    <row r="68" spans="1:17" x14ac:dyDescent="0.3">
      <c r="A68" s="2"/>
      <c r="B68" s="6">
        <v>46088</v>
      </c>
      <c r="C68" s="6">
        <v>46112</v>
      </c>
      <c r="D68" s="3" t="s">
        <v>419</v>
      </c>
      <c r="E68" s="154" t="s">
        <v>446</v>
      </c>
      <c r="F68" s="3" t="s">
        <v>141</v>
      </c>
      <c r="G68" s="153">
        <v>12100</v>
      </c>
      <c r="H68" s="3" t="s">
        <v>140</v>
      </c>
      <c r="I68" s="3" t="s">
        <v>264</v>
      </c>
      <c r="J68" s="154" t="s">
        <v>446</v>
      </c>
      <c r="K68" s="154" t="s">
        <v>446</v>
      </c>
      <c r="L68" s="3" t="s">
        <v>553</v>
      </c>
      <c r="M68" s="7">
        <v>-180</v>
      </c>
      <c r="N68" s="7">
        <v>183518.71</v>
      </c>
      <c r="O68" t="s">
        <v>233</v>
      </c>
      <c r="P68" t="s">
        <v>137</v>
      </c>
      <c r="Q68" t="str">
        <f>IF(L68="","",IF(L68="-Split-",IF(H68="Bank",IF(D68="Journal Entry","Payroll &amp; Benefits",IF(D68="Expense","Credit Card Payments","Journal Entries / Other")),"Journal Entries / Other"),IFERROR(INDEX('Mapping Reference'!$E:$E,MATCH(LEFT(L68,FIND(" ",L68)-1)&amp;" *",'Mapping Reference'!$B:$B,0)),"Unmapped")))</f>
        <v>Cash &amp; Cash Equivalents</v>
      </c>
    </row>
    <row r="69" spans="1:17" x14ac:dyDescent="0.3">
      <c r="A69" s="2"/>
      <c r="B69" s="6">
        <v>46089</v>
      </c>
      <c r="C69" s="6">
        <v>46112</v>
      </c>
      <c r="D69" s="3" t="s">
        <v>251</v>
      </c>
      <c r="E69" s="154" t="s">
        <v>446</v>
      </c>
      <c r="F69" s="3" t="s">
        <v>545</v>
      </c>
      <c r="G69" s="153">
        <v>21210</v>
      </c>
      <c r="H69" s="3" t="s">
        <v>256</v>
      </c>
      <c r="I69" s="3" t="s">
        <v>272</v>
      </c>
      <c r="J69" s="154" t="s">
        <v>446</v>
      </c>
      <c r="K69" s="154" t="s">
        <v>446</v>
      </c>
      <c r="L69" s="3" t="s">
        <v>433</v>
      </c>
      <c r="M69" s="7">
        <v>400</v>
      </c>
      <c r="N69" s="7">
        <v>9242.06</v>
      </c>
      <c r="O69" t="s">
        <v>162</v>
      </c>
      <c r="P69" t="s">
        <v>161</v>
      </c>
      <c r="Q69" t="str">
        <f>IF(L69="","",IF(L69="-Split-",IF(H69="Bank",IF(D69="Journal Entry","Payroll &amp; Benefits",IF(D69="Expense","Credit Card Payments","Journal Entries / Other")),"Journal Entries / Other"),IFERROR(INDEX('Mapping Reference'!$E:$E,MATCH(LEFT(L69,FIND(" ",L69)-1)&amp;" *",'Mapping Reference'!$B:$B,0)),"Unmapped")))</f>
        <v>Other G&amp;A</v>
      </c>
    </row>
    <row r="70" spans="1:17" x14ac:dyDescent="0.3">
      <c r="A70" s="2"/>
      <c r="B70" s="6">
        <v>46090</v>
      </c>
      <c r="C70" s="6">
        <v>46112</v>
      </c>
      <c r="D70" s="3" t="s">
        <v>251</v>
      </c>
      <c r="E70" s="154" t="s">
        <v>446</v>
      </c>
      <c r="F70" s="3" t="s">
        <v>545</v>
      </c>
      <c r="G70" s="153">
        <v>21210</v>
      </c>
      <c r="H70" s="3" t="s">
        <v>256</v>
      </c>
      <c r="I70" s="3" t="s">
        <v>272</v>
      </c>
      <c r="J70" s="154" t="s">
        <v>446</v>
      </c>
      <c r="K70" s="154" t="s">
        <v>446</v>
      </c>
      <c r="L70" s="3" t="s">
        <v>430</v>
      </c>
      <c r="M70" s="7">
        <v>1300</v>
      </c>
      <c r="N70" s="7">
        <v>10542.06</v>
      </c>
      <c r="O70" t="s">
        <v>162</v>
      </c>
      <c r="P70" t="s">
        <v>161</v>
      </c>
      <c r="Q70" t="str">
        <f>IF(L70="","",IF(L70="-Split-",IF(H70="Bank",IF(D70="Journal Entry","Payroll &amp; Benefits",IF(D70="Expense","Credit Card Payments","Journal Entries / Other")),"Journal Entries / Other"),IFERROR(INDEX('Mapping Reference'!$E:$E,MATCH(LEFT(L70,FIND(" ",L70)-1)&amp;" *",'Mapping Reference'!$B:$B,0)),"Unmapped")))</f>
        <v>Professional Fees</v>
      </c>
    </row>
    <row r="71" spans="1:17" x14ac:dyDescent="0.3">
      <c r="A71" s="2"/>
      <c r="B71" s="6">
        <v>46091</v>
      </c>
      <c r="C71" s="6">
        <v>46112</v>
      </c>
      <c r="D71" s="3" t="s">
        <v>251</v>
      </c>
      <c r="E71" s="154" t="s">
        <v>446</v>
      </c>
      <c r="F71" s="3" t="s">
        <v>145</v>
      </c>
      <c r="G71" s="153">
        <v>12210</v>
      </c>
      <c r="H71" s="3" t="s">
        <v>255</v>
      </c>
      <c r="I71" s="3" t="s">
        <v>265</v>
      </c>
      <c r="J71" s="154" t="s">
        <v>446</v>
      </c>
      <c r="K71" s="154" t="s">
        <v>446</v>
      </c>
      <c r="L71" s="3" t="s">
        <v>545</v>
      </c>
      <c r="M71" s="7">
        <v>12.99</v>
      </c>
      <c r="N71" s="7">
        <v>87.91</v>
      </c>
      <c r="O71" t="s">
        <v>143</v>
      </c>
      <c r="P71" t="s">
        <v>137</v>
      </c>
      <c r="Q71" t="str">
        <f>IF(L71="","",IF(L71="-Split-",IF(H71="Bank",IF(D71="Journal Entry","Payroll &amp; Benefits",IF(D71="Expense","Credit Card Payments","Journal Entries / Other")),"Journal Entries / Other"),IFERROR(INDEX('Mapping Reference'!$E:$E,MATCH(LEFT(L71,FIND(" ",L71)-1)&amp;" *",'Mapping Reference'!$B:$B,0)),"Unmapped")))</f>
        <v>Accounts Payable</v>
      </c>
    </row>
    <row r="72" spans="1:17" x14ac:dyDescent="0.3">
      <c r="A72" s="2"/>
      <c r="B72" s="6">
        <v>46091</v>
      </c>
      <c r="C72" s="6">
        <v>46112</v>
      </c>
      <c r="D72" s="3" t="s">
        <v>397</v>
      </c>
      <c r="E72" s="154" t="s">
        <v>446</v>
      </c>
      <c r="F72" s="3" t="s">
        <v>163</v>
      </c>
      <c r="G72" s="153">
        <v>21000</v>
      </c>
      <c r="H72" s="3" t="s">
        <v>162</v>
      </c>
      <c r="I72" s="3" t="s">
        <v>270</v>
      </c>
      <c r="J72" s="154" t="s">
        <v>446</v>
      </c>
      <c r="K72" s="154" t="s">
        <v>446</v>
      </c>
      <c r="L72" s="3" t="s">
        <v>552</v>
      </c>
      <c r="M72" s="7">
        <v>4726.9799999999996</v>
      </c>
      <c r="N72" s="7">
        <v>27334.81</v>
      </c>
      <c r="O72" t="s">
        <v>162</v>
      </c>
      <c r="P72" t="s">
        <v>161</v>
      </c>
      <c r="Q72" t="str">
        <f>IF(L72="","",IF(L72="-Split-",IF(H72="Bank",IF(D72="Journal Entry","Payroll &amp; Benefits",IF(D72="Expense","Credit Card Payments","Journal Entries / Other")),"Journal Entries / Other"),IFERROR(INDEX('Mapping Reference'!$E:$E,MATCH(LEFT(L72,FIND(" ",L72)-1)&amp;" *",'Mapping Reference'!$B:$B,0)),"Unmapped")))</f>
        <v>Project Expenses</v>
      </c>
    </row>
    <row r="73" spans="1:17" x14ac:dyDescent="0.3">
      <c r="A73" s="2"/>
      <c r="B73" s="6">
        <v>46091</v>
      </c>
      <c r="C73" s="6">
        <v>46112</v>
      </c>
      <c r="D73" s="3" t="s">
        <v>251</v>
      </c>
      <c r="E73" s="154" t="s">
        <v>446</v>
      </c>
      <c r="F73" s="3" t="s">
        <v>545</v>
      </c>
      <c r="G73" s="153">
        <v>21210</v>
      </c>
      <c r="H73" s="3" t="s">
        <v>256</v>
      </c>
      <c r="I73" s="3" t="s">
        <v>272</v>
      </c>
      <c r="J73" s="154" t="s">
        <v>446</v>
      </c>
      <c r="K73" s="154" t="s">
        <v>446</v>
      </c>
      <c r="L73" s="3" t="s">
        <v>145</v>
      </c>
      <c r="M73" s="7">
        <v>12.99</v>
      </c>
      <c r="N73" s="7">
        <v>10555.05</v>
      </c>
      <c r="O73" t="s">
        <v>162</v>
      </c>
      <c r="P73" t="s">
        <v>161</v>
      </c>
      <c r="Q73" t="str">
        <f>IF(L73="","",IF(L73="-Split-",IF(H73="Bank",IF(D73="Journal Entry","Payroll &amp; Benefits",IF(D73="Expense","Credit Card Payments","Journal Entries / Other")),"Journal Entries / Other"),IFERROR(INDEX('Mapping Reference'!$E:$E,MATCH(LEFT(L73,FIND(" ",L73)-1)&amp;" *",'Mapping Reference'!$B:$B,0)),"Unmapped")))</f>
        <v>Other Current Assets</v>
      </c>
    </row>
    <row r="74" spans="1:17" x14ac:dyDescent="0.3">
      <c r="A74" s="2"/>
      <c r="B74" s="6">
        <v>46092</v>
      </c>
      <c r="C74" s="6">
        <v>46112</v>
      </c>
      <c r="D74" s="3" t="s">
        <v>419</v>
      </c>
      <c r="E74" s="154" t="s">
        <v>446</v>
      </c>
      <c r="F74" s="3" t="s">
        <v>553</v>
      </c>
      <c r="G74" s="153">
        <v>11010</v>
      </c>
      <c r="H74" s="3" t="s">
        <v>254</v>
      </c>
      <c r="I74" s="3" t="s">
        <v>262</v>
      </c>
      <c r="J74" s="154" t="s">
        <v>446</v>
      </c>
      <c r="K74" s="154" t="s">
        <v>446</v>
      </c>
      <c r="L74" s="3" t="s">
        <v>141</v>
      </c>
      <c r="M74" s="7">
        <v>500</v>
      </c>
      <c r="N74" s="7">
        <v>183490</v>
      </c>
      <c r="O74" t="s">
        <v>232</v>
      </c>
      <c r="P74" t="s">
        <v>137</v>
      </c>
      <c r="Q74" t="str">
        <f>IF(L74="","",IF(L74="-Split-",IF(H74="Bank",IF(D74="Journal Entry","Payroll &amp; Benefits",IF(D74="Expense","Credit Card Payments","Journal Entries / Other")),"Journal Entries / Other"),IFERROR(INDEX('Mapping Reference'!$E:$E,MATCH(LEFT(L74,FIND(" ",L74)-1)&amp;" *",'Mapping Reference'!$B:$B,0)),"Unmapped")))</f>
        <v>Accounts Receivable (A/R)</v>
      </c>
    </row>
    <row r="75" spans="1:17" x14ac:dyDescent="0.3">
      <c r="A75" s="2"/>
      <c r="B75" s="6">
        <v>46092</v>
      </c>
      <c r="C75" s="6">
        <v>46112</v>
      </c>
      <c r="D75" s="3" t="s">
        <v>419</v>
      </c>
      <c r="E75" s="154" t="s">
        <v>446</v>
      </c>
      <c r="F75" s="3" t="s">
        <v>141</v>
      </c>
      <c r="G75" s="153">
        <v>12100</v>
      </c>
      <c r="H75" s="3" t="s">
        <v>140</v>
      </c>
      <c r="I75" s="3" t="s">
        <v>264</v>
      </c>
      <c r="J75" s="154" t="s">
        <v>446</v>
      </c>
      <c r="K75" s="154" t="s">
        <v>446</v>
      </c>
      <c r="L75" s="3" t="s">
        <v>553</v>
      </c>
      <c r="M75" s="7">
        <v>-500</v>
      </c>
      <c r="N75" s="7">
        <v>183018.71</v>
      </c>
      <c r="O75" t="s">
        <v>233</v>
      </c>
      <c r="P75" t="s">
        <v>137</v>
      </c>
      <c r="Q75" t="str">
        <f>IF(L75="","",IF(L75="-Split-",IF(H75="Bank",IF(D75="Journal Entry","Payroll &amp; Benefits",IF(D75="Expense","Credit Card Payments","Journal Entries / Other")),"Journal Entries / Other"),IFERROR(INDEX('Mapping Reference'!$E:$E,MATCH(LEFT(L75,FIND(" ",L75)-1)&amp;" *",'Mapping Reference'!$B:$B,0)),"Unmapped")))</f>
        <v>Cash &amp; Cash Equivalents</v>
      </c>
    </row>
    <row r="76" spans="1:17" x14ac:dyDescent="0.3">
      <c r="A76" s="2"/>
      <c r="B76" s="6">
        <v>46092</v>
      </c>
      <c r="C76" s="6">
        <v>46112</v>
      </c>
      <c r="D76" s="3" t="s">
        <v>251</v>
      </c>
      <c r="E76" s="154" t="s">
        <v>446</v>
      </c>
      <c r="F76" s="3" t="s">
        <v>545</v>
      </c>
      <c r="G76" s="153">
        <v>21210</v>
      </c>
      <c r="H76" s="3" t="s">
        <v>256</v>
      </c>
      <c r="I76" s="3" t="s">
        <v>272</v>
      </c>
      <c r="J76" s="154" t="s">
        <v>446</v>
      </c>
      <c r="K76" s="154" t="s">
        <v>446</v>
      </c>
      <c r="L76" s="3" t="s">
        <v>422</v>
      </c>
      <c r="M76" s="7">
        <v>799</v>
      </c>
      <c r="N76" s="7">
        <v>11354.05</v>
      </c>
      <c r="O76" t="s">
        <v>162</v>
      </c>
      <c r="P76" t="s">
        <v>161</v>
      </c>
      <c r="Q76" t="str">
        <f>IF(L76="","",IF(L76="-Split-",IF(H76="Bank",IF(D76="Journal Entry","Payroll &amp; Benefits",IF(D76="Expense","Credit Card Payments","Journal Entries / Other")),"Journal Entries / Other"),IFERROR(INDEX('Mapping Reference'!$E:$E,MATCH(LEFT(L76,FIND(" ",L76)-1)&amp;" *",'Mapping Reference'!$B:$B,0)),"Unmapped")))</f>
        <v>Software</v>
      </c>
    </row>
    <row r="77" spans="1:17" x14ac:dyDescent="0.3">
      <c r="A77" s="2"/>
      <c r="B77" s="6">
        <v>46093</v>
      </c>
      <c r="C77" s="6">
        <v>46112</v>
      </c>
      <c r="D77" s="3" t="s">
        <v>419</v>
      </c>
      <c r="E77" s="154" t="s">
        <v>446</v>
      </c>
      <c r="F77" s="3" t="s">
        <v>553</v>
      </c>
      <c r="G77" s="153">
        <v>11010</v>
      </c>
      <c r="H77" s="3" t="s">
        <v>254</v>
      </c>
      <c r="I77" s="3" t="s">
        <v>262</v>
      </c>
      <c r="J77" s="154" t="s">
        <v>446</v>
      </c>
      <c r="K77" s="154" t="s">
        <v>446</v>
      </c>
      <c r="L77" s="3" t="s">
        <v>141</v>
      </c>
      <c r="M77" s="7">
        <v>4714</v>
      </c>
      <c r="N77" s="7">
        <v>188204</v>
      </c>
      <c r="O77" t="s">
        <v>232</v>
      </c>
      <c r="P77" t="s">
        <v>137</v>
      </c>
      <c r="Q77" t="str">
        <f>IF(L77="","",IF(L77="-Split-",IF(H77="Bank",IF(D77="Journal Entry","Payroll &amp; Benefits",IF(D77="Expense","Credit Card Payments","Journal Entries / Other")),"Journal Entries / Other"),IFERROR(INDEX('Mapping Reference'!$E:$E,MATCH(LEFT(L77,FIND(" ",L77)-1)&amp;" *",'Mapping Reference'!$B:$B,0)),"Unmapped")))</f>
        <v>Accounts Receivable (A/R)</v>
      </c>
    </row>
    <row r="78" spans="1:17" x14ac:dyDescent="0.3">
      <c r="A78" s="2"/>
      <c r="B78" s="6">
        <v>46093</v>
      </c>
      <c r="C78" s="6">
        <v>46112</v>
      </c>
      <c r="D78" s="3" t="s">
        <v>425</v>
      </c>
      <c r="E78" s="154" t="s">
        <v>446</v>
      </c>
      <c r="F78" s="3" t="s">
        <v>553</v>
      </c>
      <c r="G78" s="153">
        <v>11010</v>
      </c>
      <c r="H78" s="3" t="s">
        <v>254</v>
      </c>
      <c r="I78" s="3" t="s">
        <v>262</v>
      </c>
      <c r="J78" s="154" t="s">
        <v>446</v>
      </c>
      <c r="K78" s="154" t="s">
        <v>446</v>
      </c>
      <c r="L78" s="3" t="s">
        <v>163</v>
      </c>
      <c r="M78" s="7">
        <v>-1887.8</v>
      </c>
      <c r="N78" s="7">
        <v>186316.2</v>
      </c>
      <c r="O78" t="s">
        <v>232</v>
      </c>
      <c r="P78" t="s">
        <v>137</v>
      </c>
      <c r="Q78" t="str">
        <f>IF(L78="","",IF(L78="-Split-",IF(H78="Bank",IF(D78="Journal Entry","Payroll &amp; Benefits",IF(D78="Expense","Credit Card Payments","Journal Entries / Other")),"Journal Entries / Other"),IFERROR(INDEX('Mapping Reference'!$E:$E,MATCH(LEFT(L78,FIND(" ",L78)-1)&amp;" *",'Mapping Reference'!$B:$B,0)),"Unmapped")))</f>
        <v>Accounts Payable</v>
      </c>
    </row>
    <row r="79" spans="1:17" x14ac:dyDescent="0.3">
      <c r="A79" s="2"/>
      <c r="B79" s="6">
        <v>46093</v>
      </c>
      <c r="C79" s="6">
        <v>46112</v>
      </c>
      <c r="D79" s="3" t="s">
        <v>419</v>
      </c>
      <c r="E79" s="154" t="s">
        <v>446</v>
      </c>
      <c r="F79" s="3" t="s">
        <v>141</v>
      </c>
      <c r="G79" s="153">
        <v>12100</v>
      </c>
      <c r="H79" s="3" t="s">
        <v>140</v>
      </c>
      <c r="I79" s="3" t="s">
        <v>264</v>
      </c>
      <c r="J79" s="154" t="s">
        <v>446</v>
      </c>
      <c r="K79" s="154" t="s">
        <v>446</v>
      </c>
      <c r="L79" s="3" t="s">
        <v>553</v>
      </c>
      <c r="M79" s="7">
        <v>-4714</v>
      </c>
      <c r="N79" s="7">
        <v>178304.71</v>
      </c>
      <c r="O79" t="s">
        <v>233</v>
      </c>
      <c r="P79" t="s">
        <v>137</v>
      </c>
      <c r="Q79" t="str">
        <f>IF(L79="","",IF(L79="-Split-",IF(H79="Bank",IF(D79="Journal Entry","Payroll &amp; Benefits",IF(D79="Expense","Credit Card Payments","Journal Entries / Other")),"Journal Entries / Other"),IFERROR(INDEX('Mapping Reference'!$E:$E,MATCH(LEFT(L79,FIND(" ",L79)-1)&amp;" *",'Mapping Reference'!$B:$B,0)),"Unmapped")))</f>
        <v>Cash &amp; Cash Equivalents</v>
      </c>
    </row>
    <row r="80" spans="1:17" x14ac:dyDescent="0.3">
      <c r="A80" s="2"/>
      <c r="B80" s="6">
        <v>46093</v>
      </c>
      <c r="C80" s="6">
        <v>46112</v>
      </c>
      <c r="D80" s="3" t="s">
        <v>425</v>
      </c>
      <c r="E80" s="154" t="s">
        <v>446</v>
      </c>
      <c r="F80" s="3" t="s">
        <v>163</v>
      </c>
      <c r="G80" s="153">
        <v>21000</v>
      </c>
      <c r="H80" s="3" t="s">
        <v>162</v>
      </c>
      <c r="I80" s="3" t="s">
        <v>270</v>
      </c>
      <c r="J80" s="154" t="s">
        <v>446</v>
      </c>
      <c r="K80" s="154" t="s">
        <v>446</v>
      </c>
      <c r="L80" s="3" t="s">
        <v>553</v>
      </c>
      <c r="M80" s="7">
        <v>-1887.8</v>
      </c>
      <c r="N80" s="7">
        <v>25447.01</v>
      </c>
      <c r="O80" t="s">
        <v>162</v>
      </c>
      <c r="P80" t="s">
        <v>161</v>
      </c>
      <c r="Q80" t="str">
        <f>IF(L80="","",IF(L80="-Split-",IF(H80="Bank",IF(D80="Journal Entry","Payroll &amp; Benefits",IF(D80="Expense","Credit Card Payments","Journal Entries / Other")),"Journal Entries / Other"),IFERROR(INDEX('Mapping Reference'!$E:$E,MATCH(LEFT(L80,FIND(" ",L80)-1)&amp;" *",'Mapping Reference'!$B:$B,0)),"Unmapped")))</f>
        <v>Cash &amp; Cash Equivalents</v>
      </c>
    </row>
    <row r="81" spans="1:17" x14ac:dyDescent="0.3">
      <c r="A81" s="2"/>
      <c r="B81" s="6">
        <v>46093</v>
      </c>
      <c r="C81" s="6">
        <v>46112</v>
      </c>
      <c r="D81" s="3" t="s">
        <v>251</v>
      </c>
      <c r="E81" s="154" t="s">
        <v>446</v>
      </c>
      <c r="F81" s="3" t="s">
        <v>545</v>
      </c>
      <c r="G81" s="153">
        <v>21210</v>
      </c>
      <c r="H81" s="3" t="s">
        <v>256</v>
      </c>
      <c r="I81" s="3" t="s">
        <v>272</v>
      </c>
      <c r="J81" s="154" t="s">
        <v>446</v>
      </c>
      <c r="K81" s="154" t="s">
        <v>446</v>
      </c>
      <c r="L81" s="3" t="s">
        <v>432</v>
      </c>
      <c r="M81" s="7">
        <v>28.88</v>
      </c>
      <c r="N81" s="7">
        <v>11382.93</v>
      </c>
      <c r="O81" t="s">
        <v>162</v>
      </c>
      <c r="P81" t="s">
        <v>161</v>
      </c>
      <c r="Q81" t="str">
        <f>IF(L81="","",IF(L81="-Split-",IF(H81="Bank",IF(D81="Journal Entry","Payroll &amp; Benefits",IF(D81="Expense","Credit Card Payments","Journal Entries / Other")),"Journal Entries / Other"),IFERROR(INDEX('Mapping Reference'!$E:$E,MATCH(LEFT(L81,FIND(" ",L81)-1)&amp;" *",'Mapping Reference'!$B:$B,0)),"Unmapped")))</f>
        <v>Unmapped</v>
      </c>
    </row>
    <row r="82" spans="1:17" x14ac:dyDescent="0.3">
      <c r="A82" s="2"/>
      <c r="B82" s="6">
        <v>46093</v>
      </c>
      <c r="C82" s="6">
        <v>46112</v>
      </c>
      <c r="D82" s="3" t="s">
        <v>251</v>
      </c>
      <c r="E82" s="154" t="s">
        <v>446</v>
      </c>
      <c r="F82" s="3" t="s">
        <v>545</v>
      </c>
      <c r="G82" s="153">
        <v>21210</v>
      </c>
      <c r="H82" s="3" t="s">
        <v>256</v>
      </c>
      <c r="I82" s="3" t="s">
        <v>272</v>
      </c>
      <c r="J82" s="154" t="s">
        <v>446</v>
      </c>
      <c r="K82" s="154" t="s">
        <v>446</v>
      </c>
      <c r="L82" s="3" t="s">
        <v>422</v>
      </c>
      <c r="M82" s="7">
        <v>386.82</v>
      </c>
      <c r="N82" s="7">
        <v>11769.75</v>
      </c>
      <c r="O82" t="s">
        <v>162</v>
      </c>
      <c r="P82" t="s">
        <v>161</v>
      </c>
      <c r="Q82" t="str">
        <f>IF(L82="","",IF(L82="-Split-",IF(H82="Bank",IF(D82="Journal Entry","Payroll &amp; Benefits",IF(D82="Expense","Credit Card Payments","Journal Entries / Other")),"Journal Entries / Other"),IFERROR(INDEX('Mapping Reference'!$E:$E,MATCH(LEFT(L82,FIND(" ",L82)-1)&amp;" *",'Mapping Reference'!$B:$B,0)),"Unmapped")))</f>
        <v>Software</v>
      </c>
    </row>
    <row r="83" spans="1:17" x14ac:dyDescent="0.3">
      <c r="A83" s="2"/>
      <c r="B83" s="6">
        <v>46094</v>
      </c>
      <c r="C83" s="6">
        <v>46112</v>
      </c>
      <c r="D83" s="3" t="s">
        <v>395</v>
      </c>
      <c r="E83" s="154" t="s">
        <v>446</v>
      </c>
      <c r="F83" s="3" t="s">
        <v>553</v>
      </c>
      <c r="G83" s="153">
        <v>11010</v>
      </c>
      <c r="H83" s="3" t="s">
        <v>254</v>
      </c>
      <c r="I83" s="3" t="s">
        <v>262</v>
      </c>
      <c r="J83" s="154" t="s">
        <v>446</v>
      </c>
      <c r="K83" s="154" t="s">
        <v>446</v>
      </c>
      <c r="L83" s="3" t="s">
        <v>394</v>
      </c>
      <c r="M83" s="7">
        <v>-27237.3</v>
      </c>
      <c r="N83" s="7">
        <v>159078.9</v>
      </c>
      <c r="O83" t="s">
        <v>232</v>
      </c>
      <c r="P83" t="s">
        <v>137</v>
      </c>
      <c r="Q83" t="str">
        <f>IF(L83="","",IF(L83="-Split-",IF(H83="Bank",IF(D83="Journal Entry","Payroll &amp; Benefits",IF(D83="Expense","Credit Card Payments","Journal Entries / Other")),"Journal Entries / Other"),IFERROR(INDEX('Mapping Reference'!$E:$E,MATCH(LEFT(L83,FIND(" ",L83)-1)&amp;" *",'Mapping Reference'!$B:$B,0)),"Unmapped")))</f>
        <v>Payroll &amp; Benefits</v>
      </c>
    </row>
    <row r="84" spans="1:17" x14ac:dyDescent="0.3">
      <c r="A84" s="2"/>
      <c r="B84" s="6">
        <v>46094</v>
      </c>
      <c r="C84" s="6">
        <v>46112</v>
      </c>
      <c r="D84" s="3" t="s">
        <v>419</v>
      </c>
      <c r="E84" s="154" t="s">
        <v>446</v>
      </c>
      <c r="F84" s="3" t="s">
        <v>553</v>
      </c>
      <c r="G84" s="153">
        <v>11010</v>
      </c>
      <c r="H84" s="3" t="s">
        <v>254</v>
      </c>
      <c r="I84" s="3" t="s">
        <v>262</v>
      </c>
      <c r="J84" s="154" t="s">
        <v>446</v>
      </c>
      <c r="K84" s="154" t="s">
        <v>446</v>
      </c>
      <c r="L84" s="3" t="s">
        <v>141</v>
      </c>
      <c r="M84" s="7">
        <v>22283.5</v>
      </c>
      <c r="N84" s="7">
        <v>181362.4</v>
      </c>
      <c r="O84" t="s">
        <v>232</v>
      </c>
      <c r="P84" t="s">
        <v>137</v>
      </c>
      <c r="Q84" t="str">
        <f>IF(L84="","",IF(L84="-Split-",IF(H84="Bank",IF(D84="Journal Entry","Payroll &amp; Benefits",IF(D84="Expense","Credit Card Payments","Journal Entries / Other")),"Journal Entries / Other"),IFERROR(INDEX('Mapping Reference'!$E:$E,MATCH(LEFT(L84,FIND(" ",L84)-1)&amp;" *",'Mapping Reference'!$B:$B,0)),"Unmapped")))</f>
        <v>Accounts Receivable (A/R)</v>
      </c>
    </row>
    <row r="85" spans="1:17" x14ac:dyDescent="0.3">
      <c r="A85" s="2"/>
      <c r="B85" s="6">
        <v>46094</v>
      </c>
      <c r="C85" s="6">
        <v>46112</v>
      </c>
      <c r="D85" s="3" t="s">
        <v>395</v>
      </c>
      <c r="E85" s="154" t="s">
        <v>446</v>
      </c>
      <c r="F85" s="3" t="s">
        <v>553</v>
      </c>
      <c r="G85" s="153">
        <v>11010</v>
      </c>
      <c r="H85" s="3" t="s">
        <v>254</v>
      </c>
      <c r="I85" s="3" t="s">
        <v>262</v>
      </c>
      <c r="J85" s="154" t="s">
        <v>446</v>
      </c>
      <c r="K85" s="154" t="s">
        <v>446</v>
      </c>
      <c r="L85" s="3" t="s">
        <v>394</v>
      </c>
      <c r="M85" s="7">
        <v>-7093.43</v>
      </c>
      <c r="N85" s="7">
        <v>174268.97</v>
      </c>
      <c r="O85" t="s">
        <v>232</v>
      </c>
      <c r="P85" t="s">
        <v>137</v>
      </c>
      <c r="Q85" t="str">
        <f>IF(L85="","",IF(L85="-Split-",IF(H85="Bank",IF(D85="Journal Entry","Payroll &amp; Benefits",IF(D85="Expense","Credit Card Payments","Journal Entries / Other")),"Journal Entries / Other"),IFERROR(INDEX('Mapping Reference'!$E:$E,MATCH(LEFT(L85,FIND(" ",L85)-1)&amp;" *",'Mapping Reference'!$B:$B,0)),"Unmapped")))</f>
        <v>Payroll &amp; Benefits</v>
      </c>
    </row>
    <row r="86" spans="1:17" x14ac:dyDescent="0.3">
      <c r="A86" s="2"/>
      <c r="B86" s="6">
        <v>46094</v>
      </c>
      <c r="C86" s="6">
        <v>46112</v>
      </c>
      <c r="D86" s="3" t="s">
        <v>419</v>
      </c>
      <c r="E86" s="154" t="s">
        <v>446</v>
      </c>
      <c r="F86" s="3" t="s">
        <v>553</v>
      </c>
      <c r="G86" s="153">
        <v>11010</v>
      </c>
      <c r="H86" s="3" t="s">
        <v>254</v>
      </c>
      <c r="I86" s="3" t="s">
        <v>262</v>
      </c>
      <c r="J86" s="154" t="s">
        <v>446</v>
      </c>
      <c r="K86" s="154" t="s">
        <v>446</v>
      </c>
      <c r="L86" s="3" t="s">
        <v>141</v>
      </c>
      <c r="M86" s="7">
        <v>1763.75</v>
      </c>
      <c r="N86" s="7">
        <v>176032.72</v>
      </c>
      <c r="O86" t="s">
        <v>232</v>
      </c>
      <c r="P86" t="s">
        <v>137</v>
      </c>
      <c r="Q86" t="str">
        <f>IF(L86="","",IF(L86="-Split-",IF(H86="Bank",IF(D86="Journal Entry","Payroll &amp; Benefits",IF(D86="Expense","Credit Card Payments","Journal Entries / Other")),"Journal Entries / Other"),IFERROR(INDEX('Mapping Reference'!$E:$E,MATCH(LEFT(L86,FIND(" ",L86)-1)&amp;" *",'Mapping Reference'!$B:$B,0)),"Unmapped")))</f>
        <v>Accounts Receivable (A/R)</v>
      </c>
    </row>
    <row r="87" spans="1:17" x14ac:dyDescent="0.3">
      <c r="A87" s="2"/>
      <c r="B87" s="6">
        <v>46094</v>
      </c>
      <c r="C87" s="6">
        <v>46112</v>
      </c>
      <c r="D87" s="3" t="s">
        <v>419</v>
      </c>
      <c r="E87" s="154" t="s">
        <v>446</v>
      </c>
      <c r="F87" s="3" t="s">
        <v>553</v>
      </c>
      <c r="G87" s="153">
        <v>11010</v>
      </c>
      <c r="H87" s="3" t="s">
        <v>254</v>
      </c>
      <c r="I87" s="3" t="s">
        <v>262</v>
      </c>
      <c r="J87" s="154" t="s">
        <v>446</v>
      </c>
      <c r="K87" s="154" t="s">
        <v>446</v>
      </c>
      <c r="L87" s="3" t="s">
        <v>141</v>
      </c>
      <c r="M87" s="7">
        <v>3181.88</v>
      </c>
      <c r="N87" s="7">
        <v>179214.6</v>
      </c>
      <c r="O87" t="s">
        <v>232</v>
      </c>
      <c r="P87" t="s">
        <v>137</v>
      </c>
      <c r="Q87" t="str">
        <f>IF(L87="","",IF(L87="-Split-",IF(H87="Bank",IF(D87="Journal Entry","Payroll &amp; Benefits",IF(D87="Expense","Credit Card Payments","Journal Entries / Other")),"Journal Entries / Other"),IFERROR(INDEX('Mapping Reference'!$E:$E,MATCH(LEFT(L87,FIND(" ",L87)-1)&amp;" *",'Mapping Reference'!$B:$B,0)),"Unmapped")))</f>
        <v>Accounts Receivable (A/R)</v>
      </c>
    </row>
    <row r="88" spans="1:17" x14ac:dyDescent="0.3">
      <c r="A88" s="2"/>
      <c r="B88" s="6">
        <v>46094</v>
      </c>
      <c r="C88" s="6">
        <v>46112</v>
      </c>
      <c r="D88" s="3" t="s">
        <v>419</v>
      </c>
      <c r="E88" s="154" t="s">
        <v>446</v>
      </c>
      <c r="F88" s="3" t="s">
        <v>141</v>
      </c>
      <c r="G88" s="153">
        <v>12100</v>
      </c>
      <c r="H88" s="3" t="s">
        <v>140</v>
      </c>
      <c r="I88" s="3" t="s">
        <v>264</v>
      </c>
      <c r="J88" s="154" t="s">
        <v>446</v>
      </c>
      <c r="K88" s="154" t="s">
        <v>446</v>
      </c>
      <c r="L88" s="3" t="s">
        <v>553</v>
      </c>
      <c r="M88" s="7">
        <v>-1763.75</v>
      </c>
      <c r="N88" s="7">
        <v>176540.96</v>
      </c>
      <c r="O88" t="s">
        <v>233</v>
      </c>
      <c r="P88" t="s">
        <v>137</v>
      </c>
      <c r="Q88" t="str">
        <f>IF(L88="","",IF(L88="-Split-",IF(H88="Bank",IF(D88="Journal Entry","Payroll &amp; Benefits",IF(D88="Expense","Credit Card Payments","Journal Entries / Other")),"Journal Entries / Other"),IFERROR(INDEX('Mapping Reference'!$E:$E,MATCH(LEFT(L88,FIND(" ",L88)-1)&amp;" *",'Mapping Reference'!$B:$B,0)),"Unmapped")))</f>
        <v>Cash &amp; Cash Equivalents</v>
      </c>
    </row>
    <row r="89" spans="1:17" x14ac:dyDescent="0.3">
      <c r="A89" s="2"/>
      <c r="B89" s="6">
        <v>46094</v>
      </c>
      <c r="C89" s="6">
        <v>46112</v>
      </c>
      <c r="D89" s="3" t="s">
        <v>419</v>
      </c>
      <c r="E89" s="154" t="s">
        <v>446</v>
      </c>
      <c r="F89" s="3" t="s">
        <v>141</v>
      </c>
      <c r="G89" s="153">
        <v>12100</v>
      </c>
      <c r="H89" s="3" t="s">
        <v>140</v>
      </c>
      <c r="I89" s="3" t="s">
        <v>264</v>
      </c>
      <c r="J89" s="154" t="s">
        <v>446</v>
      </c>
      <c r="K89" s="154" t="s">
        <v>446</v>
      </c>
      <c r="L89" s="3" t="s">
        <v>553</v>
      </c>
      <c r="M89" s="7">
        <v>-22283.5</v>
      </c>
      <c r="N89" s="7">
        <v>154257.46</v>
      </c>
      <c r="O89" t="s">
        <v>233</v>
      </c>
      <c r="P89" t="s">
        <v>137</v>
      </c>
      <c r="Q89" t="str">
        <f>IF(L89="","",IF(L89="-Split-",IF(H89="Bank",IF(D89="Journal Entry","Payroll &amp; Benefits",IF(D89="Expense","Credit Card Payments","Journal Entries / Other")),"Journal Entries / Other"),IFERROR(INDEX('Mapping Reference'!$E:$E,MATCH(LEFT(L89,FIND(" ",L89)-1)&amp;" *",'Mapping Reference'!$B:$B,0)),"Unmapped")))</f>
        <v>Cash &amp; Cash Equivalents</v>
      </c>
    </row>
    <row r="90" spans="1:17" x14ac:dyDescent="0.3">
      <c r="A90" s="2"/>
      <c r="B90" s="6">
        <v>46094</v>
      </c>
      <c r="C90" s="6">
        <v>46112</v>
      </c>
      <c r="D90" s="3" t="s">
        <v>419</v>
      </c>
      <c r="E90" s="154" t="s">
        <v>446</v>
      </c>
      <c r="F90" s="3" t="s">
        <v>141</v>
      </c>
      <c r="G90" s="153">
        <v>12100</v>
      </c>
      <c r="H90" s="3" t="s">
        <v>140</v>
      </c>
      <c r="I90" s="3" t="s">
        <v>264</v>
      </c>
      <c r="J90" s="154" t="s">
        <v>446</v>
      </c>
      <c r="K90" s="154" t="s">
        <v>446</v>
      </c>
      <c r="L90" s="3" t="s">
        <v>553</v>
      </c>
      <c r="M90" s="7">
        <v>-3181.88</v>
      </c>
      <c r="N90" s="7">
        <v>151075.57999999999</v>
      </c>
      <c r="O90" t="s">
        <v>233</v>
      </c>
      <c r="P90" t="s">
        <v>137</v>
      </c>
      <c r="Q90" t="str">
        <f>IF(L90="","",IF(L90="-Split-",IF(H90="Bank",IF(D90="Journal Entry","Payroll &amp; Benefits",IF(D90="Expense","Credit Card Payments","Journal Entries / Other")),"Journal Entries / Other"),IFERROR(INDEX('Mapping Reference'!$E:$E,MATCH(LEFT(L90,FIND(" ",L90)-1)&amp;" *",'Mapping Reference'!$B:$B,0)),"Unmapped")))</f>
        <v>Cash &amp; Cash Equivalents</v>
      </c>
    </row>
    <row r="91" spans="1:17" x14ac:dyDescent="0.3">
      <c r="A91" s="2"/>
      <c r="B91" s="6">
        <v>46094</v>
      </c>
      <c r="C91" s="6">
        <v>46112</v>
      </c>
      <c r="D91" s="3" t="s">
        <v>395</v>
      </c>
      <c r="E91" s="154" t="s">
        <v>446</v>
      </c>
      <c r="F91" s="3" t="s">
        <v>168</v>
      </c>
      <c r="G91" s="153">
        <v>22100</v>
      </c>
      <c r="H91" s="3" t="s">
        <v>257</v>
      </c>
      <c r="I91" s="3" t="s">
        <v>281</v>
      </c>
      <c r="J91" s="154" t="s">
        <v>446</v>
      </c>
      <c r="K91" s="154" t="s">
        <v>446</v>
      </c>
      <c r="L91" s="3" t="s">
        <v>394</v>
      </c>
      <c r="M91" s="7">
        <v>1640.87</v>
      </c>
      <c r="N91" s="7">
        <v>8771.26</v>
      </c>
      <c r="O91" t="s">
        <v>167</v>
      </c>
      <c r="P91" t="s">
        <v>161</v>
      </c>
      <c r="Q91" t="str">
        <f>IF(L91="","",IF(L91="-Split-",IF(H91="Bank",IF(D91="Journal Entry","Payroll &amp; Benefits",IF(D91="Expense","Credit Card Payments","Journal Entries / Other")),"Journal Entries / Other"),IFERROR(INDEX('Mapping Reference'!$E:$E,MATCH(LEFT(L91,FIND(" ",L91)-1)&amp;" *",'Mapping Reference'!$B:$B,0)),"Unmapped")))</f>
        <v>Journal Entries / Other</v>
      </c>
    </row>
    <row r="92" spans="1:17" x14ac:dyDescent="0.3">
      <c r="A92" s="2"/>
      <c r="B92" s="6">
        <v>46094</v>
      </c>
      <c r="C92" s="6">
        <v>46112</v>
      </c>
      <c r="D92" s="3" t="s">
        <v>395</v>
      </c>
      <c r="E92" s="154" t="s">
        <v>446</v>
      </c>
      <c r="F92" s="3" t="s">
        <v>168</v>
      </c>
      <c r="G92" s="153">
        <v>22100</v>
      </c>
      <c r="H92" s="3" t="s">
        <v>257</v>
      </c>
      <c r="I92" s="3" t="s">
        <v>281</v>
      </c>
      <c r="J92" s="154" t="s">
        <v>446</v>
      </c>
      <c r="K92" s="154" t="s">
        <v>446</v>
      </c>
      <c r="L92" s="3" t="s">
        <v>394</v>
      </c>
      <c r="M92" s="7">
        <v>4594</v>
      </c>
      <c r="N92" s="7">
        <v>13365.26</v>
      </c>
      <c r="O92" t="s">
        <v>167</v>
      </c>
      <c r="P92" t="s">
        <v>161</v>
      </c>
      <c r="Q92" t="str">
        <f>IF(L92="","",IF(L92="-Split-",IF(H92="Bank",IF(D92="Journal Entry","Payroll &amp; Benefits",IF(D92="Expense","Credit Card Payments","Journal Entries / Other")),"Journal Entries / Other"),IFERROR(INDEX('Mapping Reference'!$E:$E,MATCH(LEFT(L92,FIND(" ",L92)-1)&amp;" *",'Mapping Reference'!$B:$B,0)),"Unmapped")))</f>
        <v>Journal Entries / Other</v>
      </c>
    </row>
    <row r="93" spans="1:17" x14ac:dyDescent="0.3">
      <c r="A93" s="2"/>
      <c r="B93" s="6">
        <v>46095</v>
      </c>
      <c r="C93" s="6">
        <v>46112</v>
      </c>
      <c r="D93" s="3" t="s">
        <v>251</v>
      </c>
      <c r="E93" s="154" t="s">
        <v>446</v>
      </c>
      <c r="F93" s="3" t="s">
        <v>553</v>
      </c>
      <c r="G93" s="153">
        <v>11010</v>
      </c>
      <c r="H93" s="3" t="s">
        <v>254</v>
      </c>
      <c r="I93" s="3" t="s">
        <v>262</v>
      </c>
      <c r="J93" s="154" t="s">
        <v>446</v>
      </c>
      <c r="K93" s="154" t="s">
        <v>446</v>
      </c>
      <c r="L93" s="3" t="s">
        <v>168</v>
      </c>
      <c r="M93" s="7">
        <v>-1640.87</v>
      </c>
      <c r="N93" s="7">
        <v>177573.73</v>
      </c>
      <c r="O93" t="s">
        <v>232</v>
      </c>
      <c r="P93" t="s">
        <v>137</v>
      </c>
      <c r="Q93" t="str">
        <f>IF(L93="","",IF(L93="-Split-",IF(H93="Bank",IF(D93="Journal Entry","Payroll &amp; Benefits",IF(D93="Expense","Credit Card Payments","Journal Entries / Other")),"Journal Entries / Other"),IFERROR(INDEX('Mapping Reference'!$E:$E,MATCH(LEFT(L93,FIND(" ",L93)-1)&amp;" *",'Mapping Reference'!$B:$B,0)),"Unmapped")))</f>
        <v>Other Current Liabilities</v>
      </c>
    </row>
    <row r="94" spans="1:17" x14ac:dyDescent="0.3">
      <c r="A94" s="2"/>
      <c r="B94" s="6">
        <v>46095</v>
      </c>
      <c r="C94" s="6">
        <v>46112</v>
      </c>
      <c r="D94" s="3" t="s">
        <v>251</v>
      </c>
      <c r="E94" s="154" t="s">
        <v>446</v>
      </c>
      <c r="F94" s="3" t="s">
        <v>168</v>
      </c>
      <c r="G94" s="153">
        <v>22100</v>
      </c>
      <c r="H94" s="3" t="s">
        <v>257</v>
      </c>
      <c r="I94" s="3" t="s">
        <v>281</v>
      </c>
      <c r="J94" s="154" t="s">
        <v>446</v>
      </c>
      <c r="K94" s="154" t="s">
        <v>446</v>
      </c>
      <c r="L94" s="3" t="s">
        <v>553</v>
      </c>
      <c r="M94" s="7">
        <v>-1640.87</v>
      </c>
      <c r="N94" s="7">
        <v>11724.39</v>
      </c>
      <c r="O94" t="s">
        <v>167</v>
      </c>
      <c r="P94" t="s">
        <v>161</v>
      </c>
      <c r="Q94" t="str">
        <f>IF(L94="","",IF(L94="-Split-",IF(H94="Bank",IF(D94="Journal Entry","Payroll &amp; Benefits",IF(D94="Expense","Credit Card Payments","Journal Entries / Other")),"Journal Entries / Other"),IFERROR(INDEX('Mapping Reference'!$E:$E,MATCH(LEFT(L94,FIND(" ",L94)-1)&amp;" *",'Mapping Reference'!$B:$B,0)),"Unmapped")))</f>
        <v>Cash &amp; Cash Equivalents</v>
      </c>
    </row>
    <row r="95" spans="1:17" x14ac:dyDescent="0.3">
      <c r="A95" s="2"/>
      <c r="B95" s="6">
        <v>46097</v>
      </c>
      <c r="C95" s="6">
        <v>46112</v>
      </c>
      <c r="D95" s="3" t="s">
        <v>251</v>
      </c>
      <c r="E95" s="154" t="s">
        <v>446</v>
      </c>
      <c r="F95" s="3" t="s">
        <v>553</v>
      </c>
      <c r="G95" s="153">
        <v>11010</v>
      </c>
      <c r="H95" s="3" t="s">
        <v>254</v>
      </c>
      <c r="I95" s="3" t="s">
        <v>262</v>
      </c>
      <c r="J95" s="154" t="s">
        <v>446</v>
      </c>
      <c r="K95" s="154" t="s">
        <v>446</v>
      </c>
      <c r="L95" s="3" t="s">
        <v>430</v>
      </c>
      <c r="M95" s="7">
        <v>-600</v>
      </c>
      <c r="N95" s="7">
        <v>176973.73</v>
      </c>
      <c r="O95" t="s">
        <v>232</v>
      </c>
      <c r="P95" t="s">
        <v>137</v>
      </c>
      <c r="Q95" t="str">
        <f>IF(L95="","",IF(L95="-Split-",IF(H95="Bank",IF(D95="Journal Entry","Payroll &amp; Benefits",IF(D95="Expense","Credit Card Payments","Journal Entries / Other")),"Journal Entries / Other"),IFERROR(INDEX('Mapping Reference'!$E:$E,MATCH(LEFT(L95,FIND(" ",L95)-1)&amp;" *",'Mapping Reference'!$B:$B,0)),"Unmapped")))</f>
        <v>Professional Fees</v>
      </c>
    </row>
    <row r="96" spans="1:17" x14ac:dyDescent="0.3">
      <c r="A96" s="2"/>
      <c r="B96" s="6">
        <v>46097</v>
      </c>
      <c r="C96" s="6">
        <v>46112</v>
      </c>
      <c r="D96" s="3" t="s">
        <v>397</v>
      </c>
      <c r="E96" s="154" t="s">
        <v>446</v>
      </c>
      <c r="F96" s="3" t="s">
        <v>163</v>
      </c>
      <c r="G96" s="153">
        <v>21000</v>
      </c>
      <c r="H96" s="3" t="s">
        <v>162</v>
      </c>
      <c r="I96" s="3" t="s">
        <v>270</v>
      </c>
      <c r="J96" s="154" t="s">
        <v>446</v>
      </c>
      <c r="K96" s="154" t="s">
        <v>446</v>
      </c>
      <c r="L96" s="3" t="s">
        <v>431</v>
      </c>
      <c r="M96" s="7">
        <v>604.15</v>
      </c>
      <c r="N96" s="7">
        <v>26051.16</v>
      </c>
      <c r="O96" t="s">
        <v>162</v>
      </c>
      <c r="P96" t="s">
        <v>161</v>
      </c>
      <c r="Q96" t="str">
        <f>IF(L96="","",IF(L96="-Split-",IF(H96="Bank",IF(D96="Journal Entry","Payroll &amp; Benefits",IF(D96="Expense","Credit Card Payments","Journal Entries / Other")),"Journal Entries / Other"),IFERROR(INDEX('Mapping Reference'!$E:$E,MATCH(LEFT(L96,FIND(" ",L96)-1)&amp;" *",'Mapping Reference'!$B:$B,0)),"Unmapped")))</f>
        <v>Professional Fees</v>
      </c>
    </row>
    <row r="97" spans="1:17" x14ac:dyDescent="0.3">
      <c r="A97" s="2"/>
      <c r="B97" s="6">
        <v>46097</v>
      </c>
      <c r="C97" s="6">
        <v>46112</v>
      </c>
      <c r="D97" s="3" t="s">
        <v>251</v>
      </c>
      <c r="E97" s="154" t="s">
        <v>446</v>
      </c>
      <c r="F97" s="3" t="s">
        <v>545</v>
      </c>
      <c r="G97" s="153">
        <v>21210</v>
      </c>
      <c r="H97" s="3" t="s">
        <v>256</v>
      </c>
      <c r="I97" s="3" t="s">
        <v>272</v>
      </c>
      <c r="J97" s="154" t="s">
        <v>446</v>
      </c>
      <c r="K97" s="154" t="s">
        <v>446</v>
      </c>
      <c r="L97" s="3" t="s">
        <v>424</v>
      </c>
      <c r="M97" s="7">
        <v>180</v>
      </c>
      <c r="N97" s="7">
        <v>11949.75</v>
      </c>
      <c r="O97" t="s">
        <v>162</v>
      </c>
      <c r="P97" t="s">
        <v>161</v>
      </c>
      <c r="Q97" t="str">
        <f>IF(L97="","",IF(L97="-Split-",IF(H97="Bank",IF(D97="Journal Entry","Payroll &amp; Benefits",IF(D97="Expense","Credit Card Payments","Journal Entries / Other")),"Journal Entries / Other"),IFERROR(INDEX('Mapping Reference'!$E:$E,MATCH(LEFT(L97,FIND(" ",L97)-1)&amp;" *",'Mapping Reference'!$B:$B,0)),"Unmapped")))</f>
        <v>Other G&amp;A</v>
      </c>
    </row>
    <row r="98" spans="1:17" x14ac:dyDescent="0.3">
      <c r="A98" s="2"/>
      <c r="B98" s="6">
        <v>46097</v>
      </c>
      <c r="C98" s="6">
        <v>46112</v>
      </c>
      <c r="D98" s="3" t="s">
        <v>251</v>
      </c>
      <c r="E98" s="154" t="s">
        <v>446</v>
      </c>
      <c r="F98" s="3" t="s">
        <v>545</v>
      </c>
      <c r="G98" s="153">
        <v>21210</v>
      </c>
      <c r="H98" s="3" t="s">
        <v>256</v>
      </c>
      <c r="I98" s="3" t="s">
        <v>272</v>
      </c>
      <c r="J98" s="154" t="s">
        <v>446</v>
      </c>
      <c r="K98" s="154" t="s">
        <v>446</v>
      </c>
      <c r="L98" s="3" t="s">
        <v>422</v>
      </c>
      <c r="M98" s="7">
        <v>21.49</v>
      </c>
      <c r="N98" s="7">
        <v>11971.24</v>
      </c>
      <c r="O98" t="s">
        <v>162</v>
      </c>
      <c r="P98" t="s">
        <v>161</v>
      </c>
      <c r="Q98" t="str">
        <f>IF(L98="","",IF(L98="-Split-",IF(H98="Bank",IF(D98="Journal Entry","Payroll &amp; Benefits",IF(D98="Expense","Credit Card Payments","Journal Entries / Other")),"Journal Entries / Other"),IFERROR(INDEX('Mapping Reference'!$E:$E,MATCH(LEFT(L98,FIND(" ",L98)-1)&amp;" *",'Mapping Reference'!$B:$B,0)),"Unmapped")))</f>
        <v>Software</v>
      </c>
    </row>
    <row r="99" spans="1:17" x14ac:dyDescent="0.3">
      <c r="A99" s="2"/>
      <c r="B99" s="6">
        <v>46098</v>
      </c>
      <c r="C99" s="6">
        <v>46112</v>
      </c>
      <c r="D99" s="3" t="s">
        <v>425</v>
      </c>
      <c r="E99" s="154" t="s">
        <v>446</v>
      </c>
      <c r="F99" s="3" t="s">
        <v>553</v>
      </c>
      <c r="G99" s="153">
        <v>11010</v>
      </c>
      <c r="H99" s="3" t="s">
        <v>254</v>
      </c>
      <c r="I99" s="3" t="s">
        <v>262</v>
      </c>
      <c r="J99" s="154" t="s">
        <v>446</v>
      </c>
      <c r="K99" s="154" t="s">
        <v>446</v>
      </c>
      <c r="L99" s="3" t="s">
        <v>163</v>
      </c>
      <c r="M99" s="7">
        <v>-65.75</v>
      </c>
      <c r="N99" s="7">
        <v>176907.98</v>
      </c>
      <c r="O99" t="s">
        <v>232</v>
      </c>
      <c r="P99" t="s">
        <v>137</v>
      </c>
      <c r="Q99" t="str">
        <f>IF(L99="","",IF(L99="-Split-",IF(H99="Bank",IF(D99="Journal Entry","Payroll &amp; Benefits",IF(D99="Expense","Credit Card Payments","Journal Entries / Other")),"Journal Entries / Other"),IFERROR(INDEX('Mapping Reference'!$E:$E,MATCH(LEFT(L99,FIND(" ",L99)-1)&amp;" *",'Mapping Reference'!$B:$B,0)),"Unmapped")))</f>
        <v>Accounts Payable</v>
      </c>
    </row>
    <row r="100" spans="1:17" x14ac:dyDescent="0.3">
      <c r="A100" s="2"/>
      <c r="B100" s="6">
        <v>46098</v>
      </c>
      <c r="C100" s="6">
        <v>46112</v>
      </c>
      <c r="D100" s="3" t="s">
        <v>425</v>
      </c>
      <c r="E100" s="154" t="s">
        <v>446</v>
      </c>
      <c r="F100" s="3" t="s">
        <v>553</v>
      </c>
      <c r="G100" s="153">
        <v>11010</v>
      </c>
      <c r="H100" s="3" t="s">
        <v>254</v>
      </c>
      <c r="I100" s="3" t="s">
        <v>262</v>
      </c>
      <c r="J100" s="154" t="s">
        <v>446</v>
      </c>
      <c r="K100" s="154" t="s">
        <v>446</v>
      </c>
      <c r="L100" s="3" t="s">
        <v>163</v>
      </c>
      <c r="M100" s="7">
        <v>-171.54</v>
      </c>
      <c r="N100" s="7">
        <v>176736.44</v>
      </c>
      <c r="O100" t="s">
        <v>232</v>
      </c>
      <c r="P100" t="s">
        <v>137</v>
      </c>
      <c r="Q100" t="str">
        <f>IF(L100="","",IF(L100="-Split-",IF(H100="Bank",IF(D100="Journal Entry","Payroll &amp; Benefits",IF(D100="Expense","Credit Card Payments","Journal Entries / Other")),"Journal Entries / Other"),IFERROR(INDEX('Mapping Reference'!$E:$E,MATCH(LEFT(L100,FIND(" ",L100)-1)&amp;" *",'Mapping Reference'!$B:$B,0)),"Unmapped")))</f>
        <v>Accounts Payable</v>
      </c>
    </row>
    <row r="101" spans="1:17" x14ac:dyDescent="0.3">
      <c r="A101" s="2"/>
      <c r="B101" s="6">
        <v>46098</v>
      </c>
      <c r="C101" s="6">
        <v>46112</v>
      </c>
      <c r="D101" s="3" t="s">
        <v>425</v>
      </c>
      <c r="E101" s="154" t="s">
        <v>446</v>
      </c>
      <c r="F101" s="3" t="s">
        <v>553</v>
      </c>
      <c r="G101" s="153">
        <v>11010</v>
      </c>
      <c r="H101" s="3" t="s">
        <v>254</v>
      </c>
      <c r="I101" s="3" t="s">
        <v>262</v>
      </c>
      <c r="J101" s="154" t="s">
        <v>446</v>
      </c>
      <c r="K101" s="154" t="s">
        <v>446</v>
      </c>
      <c r="L101" s="3" t="s">
        <v>163</v>
      </c>
      <c r="M101" s="7">
        <v>-800</v>
      </c>
      <c r="N101" s="7">
        <v>175936.44</v>
      </c>
      <c r="O101" t="s">
        <v>232</v>
      </c>
      <c r="P101" t="s">
        <v>137</v>
      </c>
      <c r="Q101" t="str">
        <f>IF(L101="","",IF(L101="-Split-",IF(H101="Bank",IF(D101="Journal Entry","Payroll &amp; Benefits",IF(D101="Expense","Credit Card Payments","Journal Entries / Other")),"Journal Entries / Other"),IFERROR(INDEX('Mapping Reference'!$E:$E,MATCH(LEFT(L101,FIND(" ",L101)-1)&amp;" *",'Mapping Reference'!$B:$B,0)),"Unmapped")))</f>
        <v>Accounts Payable</v>
      </c>
    </row>
    <row r="102" spans="1:17" x14ac:dyDescent="0.3">
      <c r="A102" s="2"/>
      <c r="B102" s="6">
        <v>46098</v>
      </c>
      <c r="C102" s="6">
        <v>46112</v>
      </c>
      <c r="D102" s="3" t="s">
        <v>425</v>
      </c>
      <c r="E102" s="154" t="s">
        <v>446</v>
      </c>
      <c r="F102" s="3" t="s">
        <v>553</v>
      </c>
      <c r="G102" s="153">
        <v>11010</v>
      </c>
      <c r="H102" s="3" t="s">
        <v>254</v>
      </c>
      <c r="I102" s="3" t="s">
        <v>262</v>
      </c>
      <c r="J102" s="154" t="s">
        <v>446</v>
      </c>
      <c r="K102" s="154" t="s">
        <v>446</v>
      </c>
      <c r="L102" s="3" t="s">
        <v>163</v>
      </c>
      <c r="M102" s="7">
        <v>-12450</v>
      </c>
      <c r="N102" s="7">
        <v>163486.44</v>
      </c>
      <c r="O102" t="s">
        <v>232</v>
      </c>
      <c r="P102" t="s">
        <v>137</v>
      </c>
      <c r="Q102" t="str">
        <f>IF(L102="","",IF(L102="-Split-",IF(H102="Bank",IF(D102="Journal Entry","Payroll &amp; Benefits",IF(D102="Expense","Credit Card Payments","Journal Entries / Other")),"Journal Entries / Other"),IFERROR(INDEX('Mapping Reference'!$E:$E,MATCH(LEFT(L102,FIND(" ",L102)-1)&amp;" *",'Mapping Reference'!$B:$B,0)),"Unmapped")))</f>
        <v>Accounts Payable</v>
      </c>
    </row>
    <row r="103" spans="1:17" x14ac:dyDescent="0.3">
      <c r="A103" s="2"/>
      <c r="B103" s="6">
        <v>46098</v>
      </c>
      <c r="C103" s="6">
        <v>46112</v>
      </c>
      <c r="D103" s="3" t="s">
        <v>425</v>
      </c>
      <c r="E103" s="154" t="s">
        <v>446</v>
      </c>
      <c r="F103" s="3" t="s">
        <v>163</v>
      </c>
      <c r="G103" s="153">
        <v>21000</v>
      </c>
      <c r="H103" s="3" t="s">
        <v>162</v>
      </c>
      <c r="I103" s="3" t="s">
        <v>270</v>
      </c>
      <c r="J103" s="154" t="s">
        <v>446</v>
      </c>
      <c r="K103" s="154" t="s">
        <v>446</v>
      </c>
      <c r="L103" s="3" t="s">
        <v>553</v>
      </c>
      <c r="M103" s="7">
        <v>-800</v>
      </c>
      <c r="N103" s="7">
        <v>25251.16</v>
      </c>
      <c r="O103" t="s">
        <v>162</v>
      </c>
      <c r="P103" t="s">
        <v>161</v>
      </c>
      <c r="Q103" t="str">
        <f>IF(L103="","",IF(L103="-Split-",IF(H103="Bank",IF(D103="Journal Entry","Payroll &amp; Benefits",IF(D103="Expense","Credit Card Payments","Journal Entries / Other")),"Journal Entries / Other"),IFERROR(INDEX('Mapping Reference'!$E:$E,MATCH(LEFT(L103,FIND(" ",L103)-1)&amp;" *",'Mapping Reference'!$B:$B,0)),"Unmapped")))</f>
        <v>Cash &amp; Cash Equivalents</v>
      </c>
    </row>
    <row r="104" spans="1:17" x14ac:dyDescent="0.3">
      <c r="A104" s="2"/>
      <c r="B104" s="6">
        <v>46098</v>
      </c>
      <c r="C104" s="6">
        <v>46112</v>
      </c>
      <c r="D104" s="3" t="s">
        <v>425</v>
      </c>
      <c r="E104" s="154" t="s">
        <v>446</v>
      </c>
      <c r="F104" s="3" t="s">
        <v>163</v>
      </c>
      <c r="G104" s="153">
        <v>21000</v>
      </c>
      <c r="H104" s="3" t="s">
        <v>162</v>
      </c>
      <c r="I104" s="3" t="s">
        <v>270</v>
      </c>
      <c r="J104" s="154" t="s">
        <v>446</v>
      </c>
      <c r="K104" s="154" t="s">
        <v>446</v>
      </c>
      <c r="L104" s="3" t="s">
        <v>553</v>
      </c>
      <c r="M104" s="7">
        <v>-12450</v>
      </c>
      <c r="N104" s="7">
        <v>12801.16</v>
      </c>
      <c r="O104" t="s">
        <v>162</v>
      </c>
      <c r="P104" t="s">
        <v>161</v>
      </c>
      <c r="Q104" t="str">
        <f>IF(L104="","",IF(L104="-Split-",IF(H104="Bank",IF(D104="Journal Entry","Payroll &amp; Benefits",IF(D104="Expense","Credit Card Payments","Journal Entries / Other")),"Journal Entries / Other"),IFERROR(INDEX('Mapping Reference'!$E:$E,MATCH(LEFT(L104,FIND(" ",L104)-1)&amp;" *",'Mapping Reference'!$B:$B,0)),"Unmapped")))</f>
        <v>Cash &amp; Cash Equivalents</v>
      </c>
    </row>
    <row r="105" spans="1:17" x14ac:dyDescent="0.3">
      <c r="A105" s="2"/>
      <c r="B105" s="6">
        <v>46098</v>
      </c>
      <c r="C105" s="6">
        <v>46112</v>
      </c>
      <c r="D105" s="3" t="s">
        <v>425</v>
      </c>
      <c r="E105" s="154" t="s">
        <v>446</v>
      </c>
      <c r="F105" s="3" t="s">
        <v>163</v>
      </c>
      <c r="G105" s="153">
        <v>21000</v>
      </c>
      <c r="H105" s="3" t="s">
        <v>162</v>
      </c>
      <c r="I105" s="3" t="s">
        <v>270</v>
      </c>
      <c r="J105" s="154" t="s">
        <v>446</v>
      </c>
      <c r="K105" s="154" t="s">
        <v>446</v>
      </c>
      <c r="L105" s="3" t="s">
        <v>553</v>
      </c>
      <c r="M105" s="7">
        <v>-171.54</v>
      </c>
      <c r="N105" s="7">
        <v>12629.62</v>
      </c>
      <c r="O105" t="s">
        <v>162</v>
      </c>
      <c r="P105" t="s">
        <v>161</v>
      </c>
      <c r="Q105" t="str">
        <f>IF(L105="","",IF(L105="-Split-",IF(H105="Bank",IF(D105="Journal Entry","Payroll &amp; Benefits",IF(D105="Expense","Credit Card Payments","Journal Entries / Other")),"Journal Entries / Other"),IFERROR(INDEX('Mapping Reference'!$E:$E,MATCH(LEFT(L105,FIND(" ",L105)-1)&amp;" *",'Mapping Reference'!$B:$B,0)),"Unmapped")))</f>
        <v>Cash &amp; Cash Equivalents</v>
      </c>
    </row>
    <row r="106" spans="1:17" x14ac:dyDescent="0.3">
      <c r="A106" s="2"/>
      <c r="B106" s="6">
        <v>46098</v>
      </c>
      <c r="C106" s="6">
        <v>46112</v>
      </c>
      <c r="D106" s="3" t="s">
        <v>425</v>
      </c>
      <c r="E106" s="154" t="s">
        <v>446</v>
      </c>
      <c r="F106" s="3" t="s">
        <v>163</v>
      </c>
      <c r="G106" s="153">
        <v>21000</v>
      </c>
      <c r="H106" s="3" t="s">
        <v>162</v>
      </c>
      <c r="I106" s="3" t="s">
        <v>270</v>
      </c>
      <c r="J106" s="154" t="s">
        <v>446</v>
      </c>
      <c r="K106" s="154" t="s">
        <v>446</v>
      </c>
      <c r="L106" s="3" t="s">
        <v>553</v>
      </c>
      <c r="M106" s="7">
        <v>-65.75</v>
      </c>
      <c r="N106" s="7">
        <v>12563.87</v>
      </c>
      <c r="O106" t="s">
        <v>162</v>
      </c>
      <c r="P106" t="s">
        <v>161</v>
      </c>
      <c r="Q106" t="str">
        <f>IF(L106="","",IF(L106="-Split-",IF(H106="Bank",IF(D106="Journal Entry","Payroll &amp; Benefits",IF(D106="Expense","Credit Card Payments","Journal Entries / Other")),"Journal Entries / Other"),IFERROR(INDEX('Mapping Reference'!$E:$E,MATCH(LEFT(L106,FIND(" ",L106)-1)&amp;" *",'Mapping Reference'!$B:$B,0)),"Unmapped")))</f>
        <v>Cash &amp; Cash Equivalents</v>
      </c>
    </row>
    <row r="107" spans="1:17" x14ac:dyDescent="0.3">
      <c r="A107" s="2"/>
      <c r="B107" s="6">
        <v>46098</v>
      </c>
      <c r="C107" s="6">
        <v>46112</v>
      </c>
      <c r="D107" s="3" t="s">
        <v>251</v>
      </c>
      <c r="E107" s="154" t="s">
        <v>446</v>
      </c>
      <c r="F107" s="3" t="s">
        <v>545</v>
      </c>
      <c r="G107" s="153">
        <v>21210</v>
      </c>
      <c r="H107" s="3" t="s">
        <v>256</v>
      </c>
      <c r="I107" s="3" t="s">
        <v>272</v>
      </c>
      <c r="J107" s="154" t="s">
        <v>446</v>
      </c>
      <c r="K107" s="154" t="s">
        <v>446</v>
      </c>
      <c r="L107" s="3" t="s">
        <v>422</v>
      </c>
      <c r="M107" s="7">
        <v>123.57</v>
      </c>
      <c r="N107" s="7">
        <v>12094.81</v>
      </c>
      <c r="O107" t="s">
        <v>162</v>
      </c>
      <c r="P107" t="s">
        <v>161</v>
      </c>
      <c r="Q107" t="str">
        <f>IF(L107="","",IF(L107="-Split-",IF(H107="Bank",IF(D107="Journal Entry","Payroll &amp; Benefits",IF(D107="Expense","Credit Card Payments","Journal Entries / Other")),"Journal Entries / Other"),IFERROR(INDEX('Mapping Reference'!$E:$E,MATCH(LEFT(L107,FIND(" ",L107)-1)&amp;" *",'Mapping Reference'!$B:$B,0)),"Unmapped")))</f>
        <v>Software</v>
      </c>
    </row>
    <row r="108" spans="1:17" x14ac:dyDescent="0.3">
      <c r="A108" s="2"/>
      <c r="B108" s="6">
        <v>46099</v>
      </c>
      <c r="C108" s="6">
        <v>46112</v>
      </c>
      <c r="D108" s="3" t="s">
        <v>425</v>
      </c>
      <c r="E108" s="154" t="s">
        <v>446</v>
      </c>
      <c r="F108" s="3" t="s">
        <v>553</v>
      </c>
      <c r="G108" s="153">
        <v>11010</v>
      </c>
      <c r="H108" s="3" t="s">
        <v>254</v>
      </c>
      <c r="I108" s="3" t="s">
        <v>262</v>
      </c>
      <c r="J108" s="154" t="s">
        <v>446</v>
      </c>
      <c r="K108" s="154" t="s">
        <v>446</v>
      </c>
      <c r="L108" s="3" t="s">
        <v>163</v>
      </c>
      <c r="M108" s="7">
        <v>-2821.25</v>
      </c>
      <c r="N108" s="7">
        <v>160665.19</v>
      </c>
      <c r="O108" t="s">
        <v>232</v>
      </c>
      <c r="P108" t="s">
        <v>137</v>
      </c>
      <c r="Q108" t="str">
        <f>IF(L108="","",IF(L108="-Split-",IF(H108="Bank",IF(D108="Journal Entry","Payroll &amp; Benefits",IF(D108="Expense","Credit Card Payments","Journal Entries / Other")),"Journal Entries / Other"),IFERROR(INDEX('Mapping Reference'!$E:$E,MATCH(LEFT(L108,FIND(" ",L108)-1)&amp;" *",'Mapping Reference'!$B:$B,0)),"Unmapped")))</f>
        <v>Accounts Payable</v>
      </c>
    </row>
    <row r="109" spans="1:17" x14ac:dyDescent="0.3">
      <c r="A109" s="2"/>
      <c r="B109" s="6">
        <v>46099</v>
      </c>
      <c r="C109" s="6">
        <v>46112</v>
      </c>
      <c r="D109" s="3" t="s">
        <v>395</v>
      </c>
      <c r="E109" s="154" t="s">
        <v>446</v>
      </c>
      <c r="F109" s="3" t="s">
        <v>553</v>
      </c>
      <c r="G109" s="153">
        <v>11010</v>
      </c>
      <c r="H109" s="3" t="s">
        <v>254</v>
      </c>
      <c r="I109" s="3" t="s">
        <v>262</v>
      </c>
      <c r="J109" s="154" t="s">
        <v>446</v>
      </c>
      <c r="K109" s="154" t="s">
        <v>446</v>
      </c>
      <c r="L109" s="3" t="s">
        <v>394</v>
      </c>
      <c r="M109" s="7">
        <v>10030.56</v>
      </c>
      <c r="N109" s="7">
        <v>170695.75</v>
      </c>
      <c r="O109" t="s">
        <v>232</v>
      </c>
      <c r="P109" t="s">
        <v>137</v>
      </c>
      <c r="Q109" t="str">
        <f>IF(L109="","",IF(L109="-Split-",IF(H109="Bank",IF(D109="Journal Entry","Payroll &amp; Benefits",IF(D109="Expense","Credit Card Payments","Journal Entries / Other")),"Journal Entries / Other"),IFERROR(INDEX('Mapping Reference'!$E:$E,MATCH(LEFT(L109,FIND(" ",L109)-1)&amp;" *",'Mapping Reference'!$B:$B,0)),"Unmapped")))</f>
        <v>Payroll &amp; Benefits</v>
      </c>
    </row>
    <row r="110" spans="1:17" x14ac:dyDescent="0.3">
      <c r="A110" s="2"/>
      <c r="B110" s="6">
        <v>46099</v>
      </c>
      <c r="C110" s="6">
        <v>46112</v>
      </c>
      <c r="D110" s="3" t="s">
        <v>395</v>
      </c>
      <c r="E110" s="154" t="s">
        <v>446</v>
      </c>
      <c r="F110" s="3" t="s">
        <v>562</v>
      </c>
      <c r="G110" s="153">
        <v>13200</v>
      </c>
      <c r="H110" s="3" t="s">
        <v>255</v>
      </c>
      <c r="I110" s="3" t="s">
        <v>266</v>
      </c>
      <c r="J110" s="154" t="s">
        <v>446</v>
      </c>
      <c r="K110" s="154" t="s">
        <v>446</v>
      </c>
      <c r="L110" s="3" t="s">
        <v>394</v>
      </c>
      <c r="M110" s="7">
        <v>-6.25</v>
      </c>
      <c r="N110" s="7">
        <v>9718.11</v>
      </c>
      <c r="O110" t="s">
        <v>143</v>
      </c>
      <c r="P110" t="s">
        <v>137</v>
      </c>
      <c r="Q110" t="str">
        <f>IF(L110="","",IF(L110="-Split-",IF(H110="Bank",IF(D110="Journal Entry","Payroll &amp; Benefits",IF(D110="Expense","Credit Card Payments","Journal Entries / Other")),"Journal Entries / Other"),IFERROR(INDEX('Mapping Reference'!$E:$E,MATCH(LEFT(L110,FIND(" ",L110)-1)&amp;" *",'Mapping Reference'!$B:$B,0)),"Unmapped")))</f>
        <v>Journal Entries / Other</v>
      </c>
    </row>
    <row r="111" spans="1:17" x14ac:dyDescent="0.3">
      <c r="A111" s="2"/>
      <c r="B111" s="6">
        <v>46099</v>
      </c>
      <c r="C111" s="6">
        <v>46112</v>
      </c>
      <c r="D111" s="3" t="s">
        <v>425</v>
      </c>
      <c r="E111" s="154" t="s">
        <v>446</v>
      </c>
      <c r="F111" s="3" t="s">
        <v>163</v>
      </c>
      <c r="G111" s="153">
        <v>21000</v>
      </c>
      <c r="H111" s="3" t="s">
        <v>162</v>
      </c>
      <c r="I111" s="3" t="s">
        <v>270</v>
      </c>
      <c r="J111" s="154" t="s">
        <v>446</v>
      </c>
      <c r="K111" s="154" t="s">
        <v>446</v>
      </c>
      <c r="L111" s="3" t="s">
        <v>553</v>
      </c>
      <c r="M111" s="7">
        <v>-2821.25</v>
      </c>
      <c r="N111" s="7">
        <v>9742.6200000000008</v>
      </c>
      <c r="O111" t="s">
        <v>162</v>
      </c>
      <c r="P111" t="s">
        <v>161</v>
      </c>
      <c r="Q111" t="str">
        <f>IF(L111="","",IF(L111="-Split-",IF(H111="Bank",IF(D111="Journal Entry","Payroll &amp; Benefits",IF(D111="Expense","Credit Card Payments","Journal Entries / Other")),"Journal Entries / Other"),IFERROR(INDEX('Mapping Reference'!$E:$E,MATCH(LEFT(L111,FIND(" ",L111)-1)&amp;" *",'Mapping Reference'!$B:$B,0)),"Unmapped")))</f>
        <v>Cash &amp; Cash Equivalents</v>
      </c>
    </row>
    <row r="112" spans="1:17" x14ac:dyDescent="0.3">
      <c r="A112" s="2"/>
      <c r="B112" s="6">
        <v>46100</v>
      </c>
      <c r="C112" s="6">
        <v>46112</v>
      </c>
      <c r="D112" s="3" t="s">
        <v>251</v>
      </c>
      <c r="E112" s="154" t="s">
        <v>446</v>
      </c>
      <c r="F112" s="3" t="s">
        <v>145</v>
      </c>
      <c r="G112" s="153">
        <v>12210</v>
      </c>
      <c r="H112" s="3" t="s">
        <v>255</v>
      </c>
      <c r="I112" s="3" t="s">
        <v>265</v>
      </c>
      <c r="J112" s="154" t="s">
        <v>446</v>
      </c>
      <c r="K112" s="154" t="s">
        <v>446</v>
      </c>
      <c r="L112" s="3" t="s">
        <v>545</v>
      </c>
      <c r="M112" s="7">
        <v>9.99</v>
      </c>
      <c r="N112" s="7">
        <v>97.9</v>
      </c>
      <c r="O112" t="s">
        <v>143</v>
      </c>
      <c r="P112" t="s">
        <v>137</v>
      </c>
      <c r="Q112" t="str">
        <f>IF(L112="","",IF(L112="-Split-",IF(H112="Bank",IF(D112="Journal Entry","Payroll &amp; Benefits",IF(D112="Expense","Credit Card Payments","Journal Entries / Other")),"Journal Entries / Other"),IFERROR(INDEX('Mapping Reference'!$E:$E,MATCH(LEFT(L112,FIND(" ",L112)-1)&amp;" *",'Mapping Reference'!$B:$B,0)),"Unmapped")))</f>
        <v>Accounts Payable</v>
      </c>
    </row>
    <row r="113" spans="1:17" x14ac:dyDescent="0.3">
      <c r="A113" s="2"/>
      <c r="B113" s="6">
        <v>46100</v>
      </c>
      <c r="C113" s="6">
        <v>46112</v>
      </c>
      <c r="D113" s="3" t="s">
        <v>397</v>
      </c>
      <c r="E113" s="154" t="s">
        <v>446</v>
      </c>
      <c r="F113" s="3" t="s">
        <v>163</v>
      </c>
      <c r="G113" s="153">
        <v>21000</v>
      </c>
      <c r="H113" s="3" t="s">
        <v>162</v>
      </c>
      <c r="I113" s="3" t="s">
        <v>270</v>
      </c>
      <c r="J113" s="154" t="s">
        <v>446</v>
      </c>
      <c r="K113" s="154" t="s">
        <v>446</v>
      </c>
      <c r="L113" s="3" t="s">
        <v>430</v>
      </c>
      <c r="M113" s="7">
        <v>6900</v>
      </c>
      <c r="N113" s="7">
        <v>16642.62</v>
      </c>
      <c r="O113" t="s">
        <v>162</v>
      </c>
      <c r="P113" t="s">
        <v>161</v>
      </c>
      <c r="Q113" t="str">
        <f>IF(L113="","",IF(L113="-Split-",IF(H113="Bank",IF(D113="Journal Entry","Payroll &amp; Benefits",IF(D113="Expense","Credit Card Payments","Journal Entries / Other")),"Journal Entries / Other"),IFERROR(INDEX('Mapping Reference'!$E:$E,MATCH(LEFT(L113,FIND(" ",L113)-1)&amp;" *",'Mapping Reference'!$B:$B,0)),"Unmapped")))</f>
        <v>Professional Fees</v>
      </c>
    </row>
    <row r="114" spans="1:17" x14ac:dyDescent="0.3">
      <c r="A114" s="2"/>
      <c r="B114" s="6">
        <v>46100</v>
      </c>
      <c r="C114" s="6">
        <v>46112</v>
      </c>
      <c r="D114" s="3" t="s">
        <v>251</v>
      </c>
      <c r="E114" s="154" t="s">
        <v>446</v>
      </c>
      <c r="F114" s="3" t="s">
        <v>545</v>
      </c>
      <c r="G114" s="153">
        <v>21210</v>
      </c>
      <c r="H114" s="3" t="s">
        <v>256</v>
      </c>
      <c r="I114" s="3" t="s">
        <v>272</v>
      </c>
      <c r="J114" s="154" t="s">
        <v>446</v>
      </c>
      <c r="K114" s="154" t="s">
        <v>446</v>
      </c>
      <c r="L114" s="3" t="s">
        <v>145</v>
      </c>
      <c r="M114" s="7">
        <v>9.99</v>
      </c>
      <c r="N114" s="7">
        <v>12104.8</v>
      </c>
      <c r="O114" t="s">
        <v>162</v>
      </c>
      <c r="P114" t="s">
        <v>161</v>
      </c>
      <c r="Q114" t="str">
        <f>IF(L114="","",IF(L114="-Split-",IF(H114="Bank",IF(D114="Journal Entry","Payroll &amp; Benefits",IF(D114="Expense","Credit Card Payments","Journal Entries / Other")),"Journal Entries / Other"),IFERROR(INDEX('Mapping Reference'!$E:$E,MATCH(LEFT(L114,FIND(" ",L114)-1)&amp;" *",'Mapping Reference'!$B:$B,0)),"Unmapped")))</f>
        <v>Other Current Assets</v>
      </c>
    </row>
    <row r="115" spans="1:17" x14ac:dyDescent="0.3">
      <c r="A115" s="2"/>
      <c r="B115" s="6">
        <v>46100</v>
      </c>
      <c r="C115" s="6">
        <v>46112</v>
      </c>
      <c r="D115" s="3" t="s">
        <v>251</v>
      </c>
      <c r="E115" s="154" t="s">
        <v>446</v>
      </c>
      <c r="F115" s="3" t="s">
        <v>545</v>
      </c>
      <c r="G115" s="153">
        <v>21210</v>
      </c>
      <c r="H115" s="3" t="s">
        <v>256</v>
      </c>
      <c r="I115" s="3" t="s">
        <v>272</v>
      </c>
      <c r="J115" s="154" t="s">
        <v>446</v>
      </c>
      <c r="K115" s="154" t="s">
        <v>446</v>
      </c>
      <c r="L115" s="3" t="s">
        <v>429</v>
      </c>
      <c r="M115" s="7">
        <v>27.39</v>
      </c>
      <c r="N115" s="7">
        <v>12132.19</v>
      </c>
      <c r="O115" t="s">
        <v>162</v>
      </c>
      <c r="P115" t="s">
        <v>161</v>
      </c>
      <c r="Q115" t="str">
        <f>IF(L115="","",IF(L115="-Split-",IF(H115="Bank",IF(D115="Journal Entry","Payroll &amp; Benefits",IF(D115="Expense","Credit Card Payments","Journal Entries / Other")),"Journal Entries / Other"),IFERROR(INDEX('Mapping Reference'!$E:$E,MATCH(LEFT(L115,FIND(" ",L115)-1)&amp;" *",'Mapping Reference'!$B:$B,0)),"Unmapped")))</f>
        <v>Unmapped</v>
      </c>
    </row>
    <row r="116" spans="1:17" x14ac:dyDescent="0.3">
      <c r="A116" s="2"/>
      <c r="B116" s="6">
        <v>46101</v>
      </c>
      <c r="C116" s="6">
        <v>46112</v>
      </c>
      <c r="D116" s="3" t="s">
        <v>419</v>
      </c>
      <c r="E116" s="154" t="s">
        <v>446</v>
      </c>
      <c r="F116" s="3" t="s">
        <v>553</v>
      </c>
      <c r="G116" s="153">
        <v>11010</v>
      </c>
      <c r="H116" s="3" t="s">
        <v>254</v>
      </c>
      <c r="I116" s="3" t="s">
        <v>262</v>
      </c>
      <c r="J116" s="154" t="s">
        <v>446</v>
      </c>
      <c r="K116" s="154" t="s">
        <v>446</v>
      </c>
      <c r="L116" s="3" t="s">
        <v>141</v>
      </c>
      <c r="M116" s="7">
        <v>11441</v>
      </c>
      <c r="N116" s="7">
        <v>182136.75</v>
      </c>
      <c r="O116" t="s">
        <v>232</v>
      </c>
      <c r="P116" t="s">
        <v>137</v>
      </c>
      <c r="Q116" t="str">
        <f>IF(L116="","",IF(L116="-Split-",IF(H116="Bank",IF(D116="Journal Entry","Payroll &amp; Benefits",IF(D116="Expense","Credit Card Payments","Journal Entries / Other")),"Journal Entries / Other"),IFERROR(INDEX('Mapping Reference'!$E:$E,MATCH(LEFT(L116,FIND(" ",L116)-1)&amp;" *",'Mapping Reference'!$B:$B,0)),"Unmapped")))</f>
        <v>Accounts Receivable (A/R)</v>
      </c>
    </row>
    <row r="117" spans="1:17" x14ac:dyDescent="0.3">
      <c r="A117" s="2"/>
      <c r="B117" s="6">
        <v>46101</v>
      </c>
      <c r="C117" s="6">
        <v>46112</v>
      </c>
      <c r="D117" s="3" t="s">
        <v>251</v>
      </c>
      <c r="E117" s="154" t="s">
        <v>446</v>
      </c>
      <c r="F117" s="3" t="s">
        <v>554</v>
      </c>
      <c r="G117" s="153">
        <v>11020</v>
      </c>
      <c r="H117" s="3" t="s">
        <v>254</v>
      </c>
      <c r="I117" s="3" t="s">
        <v>262</v>
      </c>
      <c r="J117" s="154" t="s">
        <v>446</v>
      </c>
      <c r="K117" s="154" t="s">
        <v>446</v>
      </c>
      <c r="L117" s="3" t="s">
        <v>168</v>
      </c>
      <c r="M117" s="7">
        <v>-5932.69</v>
      </c>
      <c r="N117" s="7">
        <v>9067.31</v>
      </c>
      <c r="O117" t="s">
        <v>232</v>
      </c>
      <c r="P117" t="s">
        <v>137</v>
      </c>
      <c r="Q117" t="str">
        <f>IF(L117="","",IF(L117="-Split-",IF(H117="Bank",IF(D117="Journal Entry","Payroll &amp; Benefits",IF(D117="Expense","Credit Card Payments","Journal Entries / Other")),"Journal Entries / Other"),IFERROR(INDEX('Mapping Reference'!$E:$E,MATCH(LEFT(L117,FIND(" ",L117)-1)&amp;" *",'Mapping Reference'!$B:$B,0)),"Unmapped")))</f>
        <v>Other Current Liabilities</v>
      </c>
    </row>
    <row r="118" spans="1:17" x14ac:dyDescent="0.3">
      <c r="A118" s="2"/>
      <c r="B118" s="6">
        <v>46101</v>
      </c>
      <c r="C118" s="6">
        <v>46112</v>
      </c>
      <c r="D118" s="3" t="s">
        <v>419</v>
      </c>
      <c r="E118" s="154" t="s">
        <v>446</v>
      </c>
      <c r="F118" s="3" t="s">
        <v>141</v>
      </c>
      <c r="G118" s="153">
        <v>12100</v>
      </c>
      <c r="H118" s="3" t="s">
        <v>140</v>
      </c>
      <c r="I118" s="3" t="s">
        <v>264</v>
      </c>
      <c r="J118" s="154" t="s">
        <v>446</v>
      </c>
      <c r="K118" s="154" t="s">
        <v>446</v>
      </c>
      <c r="L118" s="3" t="s">
        <v>553</v>
      </c>
      <c r="M118" s="7">
        <v>-11441</v>
      </c>
      <c r="N118" s="7">
        <v>139634.57999999999</v>
      </c>
      <c r="O118" t="s">
        <v>233</v>
      </c>
      <c r="P118" t="s">
        <v>137</v>
      </c>
      <c r="Q118" t="str">
        <f>IF(L118="","",IF(L118="-Split-",IF(H118="Bank",IF(D118="Journal Entry","Payroll &amp; Benefits",IF(D118="Expense","Credit Card Payments","Journal Entries / Other")),"Journal Entries / Other"),IFERROR(INDEX('Mapping Reference'!$E:$E,MATCH(LEFT(L118,FIND(" ",L118)-1)&amp;" *",'Mapping Reference'!$B:$B,0)),"Unmapped")))</f>
        <v>Cash &amp; Cash Equivalents</v>
      </c>
    </row>
    <row r="119" spans="1:17" x14ac:dyDescent="0.3">
      <c r="A119" s="2"/>
      <c r="B119" s="6">
        <v>46101</v>
      </c>
      <c r="C119" s="6">
        <v>46112</v>
      </c>
      <c r="D119" s="3" t="s">
        <v>251</v>
      </c>
      <c r="E119" s="154" t="s">
        <v>446</v>
      </c>
      <c r="F119" s="3" t="s">
        <v>145</v>
      </c>
      <c r="G119" s="153">
        <v>12210</v>
      </c>
      <c r="H119" s="3" t="s">
        <v>255</v>
      </c>
      <c r="I119" s="3" t="s">
        <v>265</v>
      </c>
      <c r="J119" s="154" t="s">
        <v>446</v>
      </c>
      <c r="K119" s="154" t="s">
        <v>446</v>
      </c>
      <c r="L119" s="3" t="s">
        <v>545</v>
      </c>
      <c r="M119" s="7">
        <v>5.36</v>
      </c>
      <c r="N119" s="7">
        <v>103.26</v>
      </c>
      <c r="O119" t="s">
        <v>143</v>
      </c>
      <c r="P119" t="s">
        <v>137</v>
      </c>
      <c r="Q119" t="str">
        <f>IF(L119="","",IF(L119="-Split-",IF(H119="Bank",IF(D119="Journal Entry","Payroll &amp; Benefits",IF(D119="Expense","Credit Card Payments","Journal Entries / Other")),"Journal Entries / Other"),IFERROR(INDEX('Mapping Reference'!$E:$E,MATCH(LEFT(L119,FIND(" ",L119)-1)&amp;" *",'Mapping Reference'!$B:$B,0)),"Unmapped")))</f>
        <v>Accounts Payable</v>
      </c>
    </row>
    <row r="120" spans="1:17" x14ac:dyDescent="0.3">
      <c r="A120" s="2"/>
      <c r="B120" s="6">
        <v>46101</v>
      </c>
      <c r="C120" s="6">
        <v>46112</v>
      </c>
      <c r="D120" s="3" t="s">
        <v>397</v>
      </c>
      <c r="E120" s="154" t="s">
        <v>446</v>
      </c>
      <c r="F120" s="3" t="s">
        <v>163</v>
      </c>
      <c r="G120" s="153">
        <v>21000</v>
      </c>
      <c r="H120" s="3" t="s">
        <v>162</v>
      </c>
      <c r="I120" s="3" t="s">
        <v>270</v>
      </c>
      <c r="J120" s="154" t="s">
        <v>446</v>
      </c>
      <c r="K120" s="154" t="s">
        <v>446</v>
      </c>
      <c r="L120" s="3" t="s">
        <v>394</v>
      </c>
      <c r="M120" s="7">
        <v>167.4</v>
      </c>
      <c r="N120" s="7">
        <v>16810.02</v>
      </c>
      <c r="O120" t="s">
        <v>162</v>
      </c>
      <c r="P120" t="s">
        <v>161</v>
      </c>
      <c r="Q120" t="str">
        <f>IF(L120="","",IF(L120="-Split-",IF(H120="Bank",IF(D120="Journal Entry","Payroll &amp; Benefits",IF(D120="Expense","Credit Card Payments","Journal Entries / Other")),"Journal Entries / Other"),IFERROR(INDEX('Mapping Reference'!$E:$E,MATCH(LEFT(L120,FIND(" ",L120)-1)&amp;" *",'Mapping Reference'!$B:$B,0)),"Unmapped")))</f>
        <v>Journal Entries / Other</v>
      </c>
    </row>
    <row r="121" spans="1:17" x14ac:dyDescent="0.3">
      <c r="A121" s="2"/>
      <c r="B121" s="6">
        <v>46101</v>
      </c>
      <c r="C121" s="6">
        <v>46112</v>
      </c>
      <c r="D121" s="3" t="s">
        <v>397</v>
      </c>
      <c r="E121" s="154" t="s">
        <v>446</v>
      </c>
      <c r="F121" s="3" t="s">
        <v>163</v>
      </c>
      <c r="G121" s="153">
        <v>21000</v>
      </c>
      <c r="H121" s="3" t="s">
        <v>162</v>
      </c>
      <c r="I121" s="3" t="s">
        <v>270</v>
      </c>
      <c r="J121" s="154" t="s">
        <v>446</v>
      </c>
      <c r="K121" s="154" t="s">
        <v>446</v>
      </c>
      <c r="L121" s="3" t="s">
        <v>394</v>
      </c>
      <c r="M121" s="7">
        <v>687.48</v>
      </c>
      <c r="N121" s="7">
        <v>17497.5</v>
      </c>
      <c r="O121" t="s">
        <v>162</v>
      </c>
      <c r="P121" t="s">
        <v>161</v>
      </c>
      <c r="Q121" t="str">
        <f>IF(L121="","",IF(L121="-Split-",IF(H121="Bank",IF(D121="Journal Entry","Payroll &amp; Benefits",IF(D121="Expense","Credit Card Payments","Journal Entries / Other")),"Journal Entries / Other"),IFERROR(INDEX('Mapping Reference'!$E:$E,MATCH(LEFT(L121,FIND(" ",L121)-1)&amp;" *",'Mapping Reference'!$B:$B,0)),"Unmapped")))</f>
        <v>Journal Entries / Other</v>
      </c>
    </row>
    <row r="122" spans="1:17" x14ac:dyDescent="0.3">
      <c r="A122" s="2"/>
      <c r="B122" s="6">
        <v>46101</v>
      </c>
      <c r="C122" s="6">
        <v>46112</v>
      </c>
      <c r="D122" s="3" t="s">
        <v>397</v>
      </c>
      <c r="E122" s="154" t="s">
        <v>446</v>
      </c>
      <c r="F122" s="3" t="s">
        <v>163</v>
      </c>
      <c r="G122" s="153">
        <v>21000</v>
      </c>
      <c r="H122" s="3" t="s">
        <v>162</v>
      </c>
      <c r="I122" s="3" t="s">
        <v>270</v>
      </c>
      <c r="J122" s="154" t="s">
        <v>446</v>
      </c>
      <c r="K122" s="154" t="s">
        <v>446</v>
      </c>
      <c r="L122" s="3" t="s">
        <v>394</v>
      </c>
      <c r="M122" s="7">
        <v>300</v>
      </c>
      <c r="N122" s="7">
        <v>17797.5</v>
      </c>
      <c r="O122" t="s">
        <v>162</v>
      </c>
      <c r="P122" t="s">
        <v>161</v>
      </c>
      <c r="Q122" t="str">
        <f>IF(L122="","",IF(L122="-Split-",IF(H122="Bank",IF(D122="Journal Entry","Payroll &amp; Benefits",IF(D122="Expense","Credit Card Payments","Journal Entries / Other")),"Journal Entries / Other"),IFERROR(INDEX('Mapping Reference'!$E:$E,MATCH(LEFT(L122,FIND(" ",L122)-1)&amp;" *",'Mapping Reference'!$B:$B,0)),"Unmapped")))</f>
        <v>Journal Entries / Other</v>
      </c>
    </row>
    <row r="123" spans="1:17" x14ac:dyDescent="0.3">
      <c r="A123" s="2"/>
      <c r="B123" s="6">
        <v>46101</v>
      </c>
      <c r="C123" s="6">
        <v>46112</v>
      </c>
      <c r="D123" s="3" t="s">
        <v>251</v>
      </c>
      <c r="E123" s="154" t="s">
        <v>446</v>
      </c>
      <c r="F123" s="3" t="s">
        <v>545</v>
      </c>
      <c r="G123" s="153">
        <v>21210</v>
      </c>
      <c r="H123" s="3" t="s">
        <v>256</v>
      </c>
      <c r="I123" s="3" t="s">
        <v>272</v>
      </c>
      <c r="J123" s="154" t="s">
        <v>446</v>
      </c>
      <c r="K123" s="154" t="s">
        <v>446</v>
      </c>
      <c r="L123" s="3" t="s">
        <v>145</v>
      </c>
      <c r="M123" s="7">
        <v>5.36</v>
      </c>
      <c r="N123" s="7">
        <v>12137.55</v>
      </c>
      <c r="O123" t="s">
        <v>162</v>
      </c>
      <c r="P123" t="s">
        <v>161</v>
      </c>
      <c r="Q123" t="str">
        <f>IF(L123="","",IF(L123="-Split-",IF(H123="Bank",IF(D123="Journal Entry","Payroll &amp; Benefits",IF(D123="Expense","Credit Card Payments","Journal Entries / Other")),"Journal Entries / Other"),IFERROR(INDEX('Mapping Reference'!$E:$E,MATCH(LEFT(L123,FIND(" ",L123)-1)&amp;" *",'Mapping Reference'!$B:$B,0)),"Unmapped")))</f>
        <v>Other Current Assets</v>
      </c>
    </row>
    <row r="124" spans="1:17" x14ac:dyDescent="0.3">
      <c r="A124" s="2"/>
      <c r="B124" s="6">
        <v>46101</v>
      </c>
      <c r="C124" s="6">
        <v>46112</v>
      </c>
      <c r="D124" s="3" t="s">
        <v>251</v>
      </c>
      <c r="E124" s="154" t="s">
        <v>446</v>
      </c>
      <c r="F124" s="3" t="s">
        <v>168</v>
      </c>
      <c r="G124" s="153">
        <v>22100</v>
      </c>
      <c r="H124" s="3" t="s">
        <v>257</v>
      </c>
      <c r="I124" s="3" t="s">
        <v>281</v>
      </c>
      <c r="J124" s="154" t="s">
        <v>446</v>
      </c>
      <c r="K124" s="154" t="s">
        <v>446</v>
      </c>
      <c r="L124" s="3" t="s">
        <v>554</v>
      </c>
      <c r="M124" s="7">
        <v>-5932.69</v>
      </c>
      <c r="N124" s="7">
        <v>5791.7</v>
      </c>
      <c r="O124" t="s">
        <v>167</v>
      </c>
      <c r="P124" t="s">
        <v>161</v>
      </c>
      <c r="Q124" t="str">
        <f>IF(L124="","",IF(L124="-Split-",IF(H124="Bank",IF(D124="Journal Entry","Payroll &amp; Benefits",IF(D124="Expense","Credit Card Payments","Journal Entries / Other")),"Journal Entries / Other"),IFERROR(INDEX('Mapping Reference'!$E:$E,MATCH(LEFT(L124,FIND(" ",L124)-1)&amp;" *",'Mapping Reference'!$B:$B,0)),"Unmapped")))</f>
        <v>Cash &amp; Cash Equivalents</v>
      </c>
    </row>
    <row r="125" spans="1:17" x14ac:dyDescent="0.3">
      <c r="A125" s="2"/>
      <c r="B125" s="6">
        <v>46103</v>
      </c>
      <c r="C125" s="6">
        <v>46112</v>
      </c>
      <c r="D125" s="3" t="s">
        <v>251</v>
      </c>
      <c r="E125" s="154" t="s">
        <v>446</v>
      </c>
      <c r="F125" s="3" t="s">
        <v>545</v>
      </c>
      <c r="G125" s="153">
        <v>21210</v>
      </c>
      <c r="H125" s="3" t="s">
        <v>256</v>
      </c>
      <c r="I125" s="3" t="s">
        <v>272</v>
      </c>
      <c r="J125" s="154" t="s">
        <v>446</v>
      </c>
      <c r="K125" s="154" t="s">
        <v>446</v>
      </c>
      <c r="L125" s="3" t="s">
        <v>429</v>
      </c>
      <c r="M125" s="7">
        <v>16.420000000000002</v>
      </c>
      <c r="N125" s="7">
        <v>12153.97</v>
      </c>
      <c r="O125" t="s">
        <v>162</v>
      </c>
      <c r="P125" t="s">
        <v>161</v>
      </c>
      <c r="Q125" t="str">
        <f>IF(L125="","",IF(L125="-Split-",IF(H125="Bank",IF(D125="Journal Entry","Payroll &amp; Benefits",IF(D125="Expense","Credit Card Payments","Journal Entries / Other")),"Journal Entries / Other"),IFERROR(INDEX('Mapping Reference'!$E:$E,MATCH(LEFT(L125,FIND(" ",L125)-1)&amp;" *",'Mapping Reference'!$B:$B,0)),"Unmapped")))</f>
        <v>Unmapped</v>
      </c>
    </row>
    <row r="126" spans="1:17" x14ac:dyDescent="0.3">
      <c r="A126" s="2"/>
      <c r="B126" s="6">
        <v>46103</v>
      </c>
      <c r="C126" s="6">
        <v>46112</v>
      </c>
      <c r="D126" s="3" t="s">
        <v>251</v>
      </c>
      <c r="E126" s="154" t="s">
        <v>446</v>
      </c>
      <c r="F126" s="3" t="s">
        <v>545</v>
      </c>
      <c r="G126" s="153">
        <v>21210</v>
      </c>
      <c r="H126" s="3" t="s">
        <v>256</v>
      </c>
      <c r="I126" s="3" t="s">
        <v>272</v>
      </c>
      <c r="J126" s="154" t="s">
        <v>446</v>
      </c>
      <c r="K126" s="154" t="s">
        <v>446</v>
      </c>
      <c r="L126" s="3" t="s">
        <v>428</v>
      </c>
      <c r="M126" s="7">
        <v>8.0500000000000007</v>
      </c>
      <c r="N126" s="7">
        <v>12162.02</v>
      </c>
      <c r="O126" t="s">
        <v>162</v>
      </c>
      <c r="P126" t="s">
        <v>161</v>
      </c>
      <c r="Q126" t="str">
        <f>IF(L126="","",IF(L126="-Split-",IF(H126="Bank",IF(D126="Journal Entry","Payroll &amp; Benefits",IF(D126="Expense","Credit Card Payments","Journal Entries / Other")),"Journal Entries / Other"),IFERROR(INDEX('Mapping Reference'!$E:$E,MATCH(LEFT(L126,FIND(" ",L126)-1)&amp;" *",'Mapping Reference'!$B:$B,0)),"Unmapped")))</f>
        <v>Other G&amp;A</v>
      </c>
    </row>
    <row r="127" spans="1:17" x14ac:dyDescent="0.3">
      <c r="A127" s="2"/>
      <c r="B127" s="6">
        <v>46104</v>
      </c>
      <c r="C127" s="6">
        <v>46112</v>
      </c>
      <c r="D127" s="3" t="s">
        <v>426</v>
      </c>
      <c r="E127" s="154" t="s">
        <v>446</v>
      </c>
      <c r="F127" s="3" t="s">
        <v>553</v>
      </c>
      <c r="G127" s="153">
        <v>11010</v>
      </c>
      <c r="H127" s="3" t="s">
        <v>254</v>
      </c>
      <c r="I127" s="3" t="s">
        <v>262</v>
      </c>
      <c r="J127" s="154" t="s">
        <v>446</v>
      </c>
      <c r="K127" s="154" t="s">
        <v>446</v>
      </c>
      <c r="L127" s="3" t="s">
        <v>554</v>
      </c>
      <c r="M127" s="7">
        <v>-5932.69</v>
      </c>
      <c r="N127" s="7">
        <v>176204.06</v>
      </c>
      <c r="O127" t="s">
        <v>232</v>
      </c>
      <c r="P127" t="s">
        <v>137</v>
      </c>
      <c r="Q127" t="str">
        <f>IF(L127="","",IF(L127="-Split-",IF(H127="Bank",IF(D127="Journal Entry","Payroll &amp; Benefits",IF(D127="Expense","Credit Card Payments","Journal Entries / Other")),"Journal Entries / Other"),IFERROR(INDEX('Mapping Reference'!$E:$E,MATCH(LEFT(L127,FIND(" ",L127)-1)&amp;" *",'Mapping Reference'!$B:$B,0)),"Unmapped")))</f>
        <v>Cash &amp; Cash Equivalents</v>
      </c>
    </row>
    <row r="128" spans="1:17" x14ac:dyDescent="0.3">
      <c r="A128" s="2"/>
      <c r="B128" s="6">
        <v>46104</v>
      </c>
      <c r="C128" s="6">
        <v>46112</v>
      </c>
      <c r="D128" s="3" t="s">
        <v>425</v>
      </c>
      <c r="E128" s="154" t="s">
        <v>446</v>
      </c>
      <c r="F128" s="3" t="s">
        <v>553</v>
      </c>
      <c r="G128" s="153">
        <v>11010</v>
      </c>
      <c r="H128" s="3" t="s">
        <v>254</v>
      </c>
      <c r="I128" s="3" t="s">
        <v>262</v>
      </c>
      <c r="J128" s="154" t="s">
        <v>446</v>
      </c>
      <c r="K128" s="154" t="s">
        <v>446</v>
      </c>
      <c r="L128" s="3" t="s">
        <v>163</v>
      </c>
      <c r="M128" s="7">
        <v>-604.15</v>
      </c>
      <c r="N128" s="7">
        <v>175599.91</v>
      </c>
      <c r="O128" t="s">
        <v>232</v>
      </c>
      <c r="P128" t="s">
        <v>137</v>
      </c>
      <c r="Q128" t="str">
        <f>IF(L128="","",IF(L128="-Split-",IF(H128="Bank",IF(D128="Journal Entry","Payroll &amp; Benefits",IF(D128="Expense","Credit Card Payments","Journal Entries / Other")),"Journal Entries / Other"),IFERROR(INDEX('Mapping Reference'!$E:$E,MATCH(LEFT(L128,FIND(" ",L128)-1)&amp;" *",'Mapping Reference'!$B:$B,0)),"Unmapped")))</f>
        <v>Accounts Payable</v>
      </c>
    </row>
    <row r="129" spans="1:17" x14ac:dyDescent="0.3">
      <c r="A129" s="2"/>
      <c r="B129" s="6">
        <v>46104</v>
      </c>
      <c r="C129" s="6">
        <v>46112</v>
      </c>
      <c r="D129" s="3" t="s">
        <v>426</v>
      </c>
      <c r="E129" s="154" t="s">
        <v>446</v>
      </c>
      <c r="F129" s="3" t="s">
        <v>554</v>
      </c>
      <c r="G129" s="153">
        <v>11020</v>
      </c>
      <c r="H129" s="3" t="s">
        <v>254</v>
      </c>
      <c r="I129" s="3" t="s">
        <v>262</v>
      </c>
      <c r="J129" s="154" t="s">
        <v>446</v>
      </c>
      <c r="K129" s="154" t="s">
        <v>446</v>
      </c>
      <c r="L129" s="3" t="s">
        <v>553</v>
      </c>
      <c r="M129" s="7">
        <v>5932.69</v>
      </c>
      <c r="N129" s="7">
        <v>15000</v>
      </c>
      <c r="O129" t="s">
        <v>232</v>
      </c>
      <c r="P129" t="s">
        <v>137</v>
      </c>
      <c r="Q129" t="str">
        <f>IF(L129="","",IF(L129="-Split-",IF(H129="Bank",IF(D129="Journal Entry","Payroll &amp; Benefits",IF(D129="Expense","Credit Card Payments","Journal Entries / Other")),"Journal Entries / Other"),IFERROR(INDEX('Mapping Reference'!$E:$E,MATCH(LEFT(L129,FIND(" ",L129)-1)&amp;" *",'Mapping Reference'!$B:$B,0)),"Unmapped")))</f>
        <v>Cash &amp; Cash Equivalents</v>
      </c>
    </row>
    <row r="130" spans="1:17" x14ac:dyDescent="0.3">
      <c r="A130" s="2"/>
      <c r="B130" s="6">
        <v>46104</v>
      </c>
      <c r="C130" s="6">
        <v>46112</v>
      </c>
      <c r="D130" s="3" t="s">
        <v>425</v>
      </c>
      <c r="E130" s="154" t="s">
        <v>446</v>
      </c>
      <c r="F130" s="3" t="s">
        <v>163</v>
      </c>
      <c r="G130" s="153">
        <v>21000</v>
      </c>
      <c r="H130" s="3" t="s">
        <v>162</v>
      </c>
      <c r="I130" s="3" t="s">
        <v>270</v>
      </c>
      <c r="J130" s="154" t="s">
        <v>446</v>
      </c>
      <c r="K130" s="154" t="s">
        <v>446</v>
      </c>
      <c r="L130" s="3" t="s">
        <v>553</v>
      </c>
      <c r="M130" s="7">
        <v>-604.15</v>
      </c>
      <c r="N130" s="7">
        <v>17193.349999999999</v>
      </c>
      <c r="O130" t="s">
        <v>162</v>
      </c>
      <c r="P130" t="s">
        <v>161</v>
      </c>
      <c r="Q130" t="str">
        <f>IF(L130="","",IF(L130="-Split-",IF(H130="Bank",IF(D130="Journal Entry","Payroll &amp; Benefits",IF(D130="Expense","Credit Card Payments","Journal Entries / Other")),"Journal Entries / Other"),IFERROR(INDEX('Mapping Reference'!$E:$E,MATCH(LEFT(L130,FIND(" ",L130)-1)&amp;" *",'Mapping Reference'!$B:$B,0)),"Unmapped")))</f>
        <v>Cash &amp; Cash Equivalents</v>
      </c>
    </row>
    <row r="131" spans="1:17" x14ac:dyDescent="0.3">
      <c r="A131" s="2"/>
      <c r="B131" s="6">
        <v>46104</v>
      </c>
      <c r="C131" s="6">
        <v>46112</v>
      </c>
      <c r="D131" s="3" t="s">
        <v>251</v>
      </c>
      <c r="E131" s="154" t="s">
        <v>446</v>
      </c>
      <c r="F131" s="3" t="s">
        <v>545</v>
      </c>
      <c r="G131" s="153">
        <v>21210</v>
      </c>
      <c r="H131" s="3" t="s">
        <v>256</v>
      </c>
      <c r="I131" s="3" t="s">
        <v>272</v>
      </c>
      <c r="J131" s="154" t="s">
        <v>446</v>
      </c>
      <c r="K131" s="154" t="s">
        <v>446</v>
      </c>
      <c r="L131" s="3" t="s">
        <v>427</v>
      </c>
      <c r="M131" s="7">
        <v>49.95</v>
      </c>
      <c r="N131" s="7">
        <v>12211.97</v>
      </c>
      <c r="O131" t="s">
        <v>162</v>
      </c>
      <c r="P131" t="s">
        <v>161</v>
      </c>
      <c r="Q131" t="str">
        <f>IF(L131="","",IF(L131="-Split-",IF(H131="Bank",IF(D131="Journal Entry","Payroll &amp; Benefits",IF(D131="Expense","Credit Card Payments","Journal Entries / Other")),"Journal Entries / Other"),IFERROR(INDEX('Mapping Reference'!$E:$E,MATCH(LEFT(L131,FIND(" ",L131)-1)&amp;" *",'Mapping Reference'!$B:$B,0)),"Unmapped")))</f>
        <v>Unmapped</v>
      </c>
    </row>
    <row r="132" spans="1:17" x14ac:dyDescent="0.3">
      <c r="A132" s="2"/>
      <c r="B132" s="6">
        <v>46105</v>
      </c>
      <c r="C132" s="6">
        <v>46112</v>
      </c>
      <c r="D132" s="3" t="s">
        <v>425</v>
      </c>
      <c r="E132" s="154" t="s">
        <v>446</v>
      </c>
      <c r="F132" s="3" t="s">
        <v>553</v>
      </c>
      <c r="G132" s="153">
        <v>11010</v>
      </c>
      <c r="H132" s="3" t="s">
        <v>254</v>
      </c>
      <c r="I132" s="3" t="s">
        <v>262</v>
      </c>
      <c r="J132" s="154" t="s">
        <v>446</v>
      </c>
      <c r="K132" s="154" t="s">
        <v>446</v>
      </c>
      <c r="L132" s="3" t="s">
        <v>163</v>
      </c>
      <c r="M132" s="7">
        <v>-89.46</v>
      </c>
      <c r="N132" s="7">
        <v>175510.45</v>
      </c>
      <c r="O132" t="s">
        <v>232</v>
      </c>
      <c r="P132" t="s">
        <v>137</v>
      </c>
      <c r="Q132" t="str">
        <f>IF(L132="","",IF(L132="-Split-",IF(H132="Bank",IF(D132="Journal Entry","Payroll &amp; Benefits",IF(D132="Expense","Credit Card Payments","Journal Entries / Other")),"Journal Entries / Other"),IFERROR(INDEX('Mapping Reference'!$E:$E,MATCH(LEFT(L132,FIND(" ",L132)-1)&amp;" *",'Mapping Reference'!$B:$B,0)),"Unmapped")))</f>
        <v>Accounts Payable</v>
      </c>
    </row>
    <row r="133" spans="1:17" x14ac:dyDescent="0.3">
      <c r="A133" s="2"/>
      <c r="B133" s="6">
        <v>46105</v>
      </c>
      <c r="C133" s="6">
        <v>46112</v>
      </c>
      <c r="D133" s="3" t="s">
        <v>425</v>
      </c>
      <c r="E133" s="154" t="s">
        <v>446</v>
      </c>
      <c r="F133" s="3" t="s">
        <v>553</v>
      </c>
      <c r="G133" s="153">
        <v>11010</v>
      </c>
      <c r="H133" s="3" t="s">
        <v>254</v>
      </c>
      <c r="I133" s="3" t="s">
        <v>262</v>
      </c>
      <c r="J133" s="154" t="s">
        <v>446</v>
      </c>
      <c r="K133" s="154" t="s">
        <v>446</v>
      </c>
      <c r="L133" s="3" t="s">
        <v>163</v>
      </c>
      <c r="M133" s="7">
        <v>-6900</v>
      </c>
      <c r="N133" s="7">
        <v>168610.45</v>
      </c>
      <c r="O133" t="s">
        <v>232</v>
      </c>
      <c r="P133" t="s">
        <v>137</v>
      </c>
      <c r="Q133" t="str">
        <f>IF(L133="","",IF(L133="-Split-",IF(H133="Bank",IF(D133="Journal Entry","Payroll &amp; Benefits",IF(D133="Expense","Credit Card Payments","Journal Entries / Other")),"Journal Entries / Other"),IFERROR(INDEX('Mapping Reference'!$E:$E,MATCH(LEFT(L133,FIND(" ",L133)-1)&amp;" *",'Mapping Reference'!$B:$B,0)),"Unmapped")))</f>
        <v>Accounts Payable</v>
      </c>
    </row>
    <row r="134" spans="1:17" x14ac:dyDescent="0.3">
      <c r="A134" s="2"/>
      <c r="B134" s="6">
        <v>46105</v>
      </c>
      <c r="C134" s="6">
        <v>46112</v>
      </c>
      <c r="D134" s="3" t="s">
        <v>419</v>
      </c>
      <c r="E134" s="154" t="s">
        <v>446</v>
      </c>
      <c r="F134" s="3" t="s">
        <v>553</v>
      </c>
      <c r="G134" s="153">
        <v>11010</v>
      </c>
      <c r="H134" s="3" t="s">
        <v>254</v>
      </c>
      <c r="I134" s="3" t="s">
        <v>262</v>
      </c>
      <c r="J134" s="154" t="s">
        <v>446</v>
      </c>
      <c r="K134" s="154" t="s">
        <v>446</v>
      </c>
      <c r="L134" s="3" t="s">
        <v>141</v>
      </c>
      <c r="M134" s="7">
        <v>17080</v>
      </c>
      <c r="N134" s="7">
        <v>185690.45</v>
      </c>
      <c r="O134" t="s">
        <v>232</v>
      </c>
      <c r="P134" t="s">
        <v>137</v>
      </c>
      <c r="Q134" t="str">
        <f>IF(L134="","",IF(L134="-Split-",IF(H134="Bank",IF(D134="Journal Entry","Payroll &amp; Benefits",IF(D134="Expense","Credit Card Payments","Journal Entries / Other")),"Journal Entries / Other"),IFERROR(INDEX('Mapping Reference'!$E:$E,MATCH(LEFT(L134,FIND(" ",L134)-1)&amp;" *",'Mapping Reference'!$B:$B,0)),"Unmapped")))</f>
        <v>Accounts Receivable (A/R)</v>
      </c>
    </row>
    <row r="135" spans="1:17" x14ac:dyDescent="0.3">
      <c r="A135" s="2"/>
      <c r="B135" s="6">
        <v>46105</v>
      </c>
      <c r="C135" s="6">
        <v>46112</v>
      </c>
      <c r="D135" s="3" t="s">
        <v>425</v>
      </c>
      <c r="E135" s="154" t="s">
        <v>446</v>
      </c>
      <c r="F135" s="3" t="s">
        <v>553</v>
      </c>
      <c r="G135" s="153">
        <v>11010</v>
      </c>
      <c r="H135" s="3" t="s">
        <v>254</v>
      </c>
      <c r="I135" s="3" t="s">
        <v>262</v>
      </c>
      <c r="J135" s="154" t="s">
        <v>446</v>
      </c>
      <c r="K135" s="154" t="s">
        <v>446</v>
      </c>
      <c r="L135" s="3" t="s">
        <v>163</v>
      </c>
      <c r="M135" s="7">
        <v>-4726.9799999999996</v>
      </c>
      <c r="N135" s="7">
        <v>180963.47</v>
      </c>
      <c r="O135" t="s">
        <v>232</v>
      </c>
      <c r="P135" t="s">
        <v>137</v>
      </c>
      <c r="Q135" t="str">
        <f>IF(L135="","",IF(L135="-Split-",IF(H135="Bank",IF(D135="Journal Entry","Payroll &amp; Benefits",IF(D135="Expense","Credit Card Payments","Journal Entries / Other")),"Journal Entries / Other"),IFERROR(INDEX('Mapping Reference'!$E:$E,MATCH(LEFT(L135,FIND(" ",L135)-1)&amp;" *",'Mapping Reference'!$B:$B,0)),"Unmapped")))</f>
        <v>Accounts Payable</v>
      </c>
    </row>
    <row r="136" spans="1:17" x14ac:dyDescent="0.3">
      <c r="A136" s="2"/>
      <c r="B136" s="6">
        <v>46105</v>
      </c>
      <c r="C136" s="6">
        <v>46112</v>
      </c>
      <c r="D136" s="3" t="s">
        <v>425</v>
      </c>
      <c r="E136" s="154" t="s">
        <v>446</v>
      </c>
      <c r="F136" s="3" t="s">
        <v>553</v>
      </c>
      <c r="G136" s="153">
        <v>11010</v>
      </c>
      <c r="H136" s="3" t="s">
        <v>254</v>
      </c>
      <c r="I136" s="3" t="s">
        <v>262</v>
      </c>
      <c r="J136" s="154" t="s">
        <v>446</v>
      </c>
      <c r="K136" s="154" t="s">
        <v>446</v>
      </c>
      <c r="L136" s="3" t="s">
        <v>163</v>
      </c>
      <c r="M136" s="7">
        <v>-2093.75</v>
      </c>
      <c r="N136" s="7">
        <v>178869.72</v>
      </c>
      <c r="O136" t="s">
        <v>232</v>
      </c>
      <c r="P136" t="s">
        <v>137</v>
      </c>
      <c r="Q136" t="str">
        <f>IF(L136="","",IF(L136="-Split-",IF(H136="Bank",IF(D136="Journal Entry","Payroll &amp; Benefits",IF(D136="Expense","Credit Card Payments","Journal Entries / Other")),"Journal Entries / Other"),IFERROR(INDEX('Mapping Reference'!$E:$E,MATCH(LEFT(L136,FIND(" ",L136)-1)&amp;" *",'Mapping Reference'!$B:$B,0)),"Unmapped")))</f>
        <v>Accounts Payable</v>
      </c>
    </row>
    <row r="137" spans="1:17" x14ac:dyDescent="0.3">
      <c r="A137" s="2"/>
      <c r="B137" s="6">
        <v>46105</v>
      </c>
      <c r="C137" s="6">
        <v>46112</v>
      </c>
      <c r="D137" s="3" t="s">
        <v>426</v>
      </c>
      <c r="E137" s="154" t="s">
        <v>446</v>
      </c>
      <c r="F137" s="3" t="s">
        <v>553</v>
      </c>
      <c r="G137" s="153">
        <v>11010</v>
      </c>
      <c r="H137" s="3" t="s">
        <v>254</v>
      </c>
      <c r="I137" s="3" t="s">
        <v>262</v>
      </c>
      <c r="J137" s="154" t="s">
        <v>446</v>
      </c>
      <c r="K137" s="154" t="s">
        <v>446</v>
      </c>
      <c r="L137" s="3" t="s">
        <v>554</v>
      </c>
      <c r="M137" s="7">
        <v>-6462.45</v>
      </c>
      <c r="N137" s="7">
        <v>172407.27</v>
      </c>
      <c r="O137" t="s">
        <v>232</v>
      </c>
      <c r="P137" t="s">
        <v>137</v>
      </c>
      <c r="Q137" t="str">
        <f>IF(L137="","",IF(L137="-Split-",IF(H137="Bank",IF(D137="Journal Entry","Payroll &amp; Benefits",IF(D137="Expense","Credit Card Payments","Journal Entries / Other")),"Journal Entries / Other"),IFERROR(INDEX('Mapping Reference'!$E:$E,MATCH(LEFT(L137,FIND(" ",L137)-1)&amp;" *",'Mapping Reference'!$B:$B,0)),"Unmapped")))</f>
        <v>Cash &amp; Cash Equivalents</v>
      </c>
    </row>
    <row r="138" spans="1:17" x14ac:dyDescent="0.3">
      <c r="A138" s="2"/>
      <c r="B138" s="6">
        <v>46105</v>
      </c>
      <c r="C138" s="6">
        <v>46112</v>
      </c>
      <c r="D138" s="3" t="s">
        <v>251</v>
      </c>
      <c r="E138" s="154" t="s">
        <v>446</v>
      </c>
      <c r="F138" s="3" t="s">
        <v>554</v>
      </c>
      <c r="G138" s="153">
        <v>11020</v>
      </c>
      <c r="H138" s="3" t="s">
        <v>254</v>
      </c>
      <c r="I138" s="3" t="s">
        <v>262</v>
      </c>
      <c r="J138" s="154" t="s">
        <v>446</v>
      </c>
      <c r="K138" s="154" t="s">
        <v>446</v>
      </c>
      <c r="L138" s="3" t="s">
        <v>394</v>
      </c>
      <c r="M138" s="7">
        <v>-6462.45</v>
      </c>
      <c r="N138" s="7">
        <v>8537.5499999999993</v>
      </c>
      <c r="O138" t="s">
        <v>232</v>
      </c>
      <c r="P138" t="s">
        <v>137</v>
      </c>
      <c r="Q138" t="str">
        <f>IF(L138="","",IF(L138="-Split-",IF(H138="Bank",IF(D138="Journal Entry","Payroll &amp; Benefits",IF(D138="Expense","Credit Card Payments","Journal Entries / Other")),"Journal Entries / Other"),IFERROR(INDEX('Mapping Reference'!$E:$E,MATCH(LEFT(L138,FIND(" ",L138)-1)&amp;" *",'Mapping Reference'!$B:$B,0)),"Unmapped")))</f>
        <v>Credit Card Payments</v>
      </c>
    </row>
    <row r="139" spans="1:17" x14ac:dyDescent="0.3">
      <c r="A139" s="2"/>
      <c r="B139" s="6">
        <v>46105</v>
      </c>
      <c r="C139" s="6">
        <v>46112</v>
      </c>
      <c r="D139" s="3" t="s">
        <v>426</v>
      </c>
      <c r="E139" s="154" t="s">
        <v>446</v>
      </c>
      <c r="F139" s="3" t="s">
        <v>554</v>
      </c>
      <c r="G139" s="153">
        <v>11020</v>
      </c>
      <c r="H139" s="3" t="s">
        <v>254</v>
      </c>
      <c r="I139" s="3" t="s">
        <v>262</v>
      </c>
      <c r="J139" s="154" t="s">
        <v>446</v>
      </c>
      <c r="K139" s="154" t="s">
        <v>446</v>
      </c>
      <c r="L139" s="3" t="s">
        <v>553</v>
      </c>
      <c r="M139" s="7">
        <v>6462.45</v>
      </c>
      <c r="N139" s="7">
        <v>15000</v>
      </c>
      <c r="O139" t="s">
        <v>232</v>
      </c>
      <c r="P139" t="s">
        <v>137</v>
      </c>
      <c r="Q139" t="str">
        <f>IF(L139="","",IF(L139="-Split-",IF(H139="Bank",IF(D139="Journal Entry","Payroll &amp; Benefits",IF(D139="Expense","Credit Card Payments","Journal Entries / Other")),"Journal Entries / Other"),IFERROR(INDEX('Mapping Reference'!$E:$E,MATCH(LEFT(L139,FIND(" ",L139)-1)&amp;" *",'Mapping Reference'!$B:$B,0)),"Unmapped")))</f>
        <v>Cash &amp; Cash Equivalents</v>
      </c>
    </row>
    <row r="140" spans="1:17" x14ac:dyDescent="0.3">
      <c r="A140" s="2"/>
      <c r="B140" s="6">
        <v>46105</v>
      </c>
      <c r="C140" s="6">
        <v>46112</v>
      </c>
      <c r="D140" s="3" t="s">
        <v>419</v>
      </c>
      <c r="E140" s="154" t="s">
        <v>446</v>
      </c>
      <c r="F140" s="3" t="s">
        <v>141</v>
      </c>
      <c r="G140" s="153">
        <v>12100</v>
      </c>
      <c r="H140" s="3" t="s">
        <v>140</v>
      </c>
      <c r="I140" s="3" t="s">
        <v>264</v>
      </c>
      <c r="J140" s="154" t="s">
        <v>446</v>
      </c>
      <c r="K140" s="154" t="s">
        <v>446</v>
      </c>
      <c r="L140" s="3" t="s">
        <v>553</v>
      </c>
      <c r="M140" s="7">
        <v>-17080</v>
      </c>
      <c r="N140" s="7">
        <v>122554.58</v>
      </c>
      <c r="O140" t="s">
        <v>233</v>
      </c>
      <c r="P140" t="s">
        <v>137</v>
      </c>
      <c r="Q140" t="str">
        <f>IF(L140="","",IF(L140="-Split-",IF(H140="Bank",IF(D140="Journal Entry","Payroll &amp; Benefits",IF(D140="Expense","Credit Card Payments","Journal Entries / Other")),"Journal Entries / Other"),IFERROR(INDEX('Mapping Reference'!$E:$E,MATCH(LEFT(L140,FIND(" ",L140)-1)&amp;" *",'Mapping Reference'!$B:$B,0)),"Unmapped")))</f>
        <v>Cash &amp; Cash Equivalents</v>
      </c>
    </row>
    <row r="141" spans="1:17" x14ac:dyDescent="0.3">
      <c r="A141" s="2"/>
      <c r="B141" s="6">
        <v>46105</v>
      </c>
      <c r="C141" s="6">
        <v>46112</v>
      </c>
      <c r="D141" s="3" t="s">
        <v>397</v>
      </c>
      <c r="E141" s="154" t="s">
        <v>446</v>
      </c>
      <c r="F141" s="3" t="s">
        <v>163</v>
      </c>
      <c r="G141" s="153">
        <v>21000</v>
      </c>
      <c r="H141" s="3" t="s">
        <v>162</v>
      </c>
      <c r="I141" s="3" t="s">
        <v>270</v>
      </c>
      <c r="J141" s="154" t="s">
        <v>446</v>
      </c>
      <c r="K141" s="154" t="s">
        <v>446</v>
      </c>
      <c r="L141" s="3" t="s">
        <v>552</v>
      </c>
      <c r="M141" s="7">
        <v>89.46</v>
      </c>
      <c r="N141" s="7">
        <v>17282.810000000001</v>
      </c>
      <c r="O141" t="s">
        <v>162</v>
      </c>
      <c r="P141" t="s">
        <v>161</v>
      </c>
      <c r="Q141" t="str">
        <f>IF(L141="","",IF(L141="-Split-",IF(H141="Bank",IF(D141="Journal Entry","Payroll &amp; Benefits",IF(D141="Expense","Credit Card Payments","Journal Entries / Other")),"Journal Entries / Other"),IFERROR(INDEX('Mapping Reference'!$E:$E,MATCH(LEFT(L141,FIND(" ",L141)-1)&amp;" *",'Mapping Reference'!$B:$B,0)),"Unmapped")))</f>
        <v>Project Expenses</v>
      </c>
    </row>
    <row r="142" spans="1:17" x14ac:dyDescent="0.3">
      <c r="A142" s="2"/>
      <c r="B142" s="6">
        <v>46105</v>
      </c>
      <c r="C142" s="6">
        <v>46112</v>
      </c>
      <c r="D142" s="3" t="s">
        <v>425</v>
      </c>
      <c r="E142" s="154" t="s">
        <v>446</v>
      </c>
      <c r="F142" s="3" t="s">
        <v>163</v>
      </c>
      <c r="G142" s="153">
        <v>21000</v>
      </c>
      <c r="H142" s="3" t="s">
        <v>162</v>
      </c>
      <c r="I142" s="3" t="s">
        <v>270</v>
      </c>
      <c r="J142" s="154" t="s">
        <v>446</v>
      </c>
      <c r="K142" s="154" t="s">
        <v>446</v>
      </c>
      <c r="L142" s="3" t="s">
        <v>553</v>
      </c>
      <c r="M142" s="7">
        <v>-89.46</v>
      </c>
      <c r="N142" s="7">
        <v>17193.349999999999</v>
      </c>
      <c r="O142" t="s">
        <v>162</v>
      </c>
      <c r="P142" t="s">
        <v>161</v>
      </c>
      <c r="Q142" t="str">
        <f>IF(L142="","",IF(L142="-Split-",IF(H142="Bank",IF(D142="Journal Entry","Payroll &amp; Benefits",IF(D142="Expense","Credit Card Payments","Journal Entries / Other")),"Journal Entries / Other"),IFERROR(INDEX('Mapping Reference'!$E:$E,MATCH(LEFT(L142,FIND(" ",L142)-1)&amp;" *",'Mapping Reference'!$B:$B,0)),"Unmapped")))</f>
        <v>Cash &amp; Cash Equivalents</v>
      </c>
    </row>
    <row r="143" spans="1:17" x14ac:dyDescent="0.3">
      <c r="A143" s="2"/>
      <c r="B143" s="6">
        <v>46105</v>
      </c>
      <c r="C143" s="6">
        <v>46112</v>
      </c>
      <c r="D143" s="3" t="s">
        <v>397</v>
      </c>
      <c r="E143" s="154" t="s">
        <v>446</v>
      </c>
      <c r="F143" s="3" t="s">
        <v>163</v>
      </c>
      <c r="G143" s="153">
        <v>21000</v>
      </c>
      <c r="H143" s="3" t="s">
        <v>162</v>
      </c>
      <c r="I143" s="3" t="s">
        <v>270</v>
      </c>
      <c r="J143" s="154" t="s">
        <v>446</v>
      </c>
      <c r="K143" s="154" t="s">
        <v>446</v>
      </c>
      <c r="L143" s="3" t="s">
        <v>552</v>
      </c>
      <c r="M143" s="7">
        <v>251.62</v>
      </c>
      <c r="N143" s="7">
        <v>17444.97</v>
      </c>
      <c r="O143" t="s">
        <v>162</v>
      </c>
      <c r="P143" t="s">
        <v>161</v>
      </c>
      <c r="Q143" t="str">
        <f>IF(L143="","",IF(L143="-Split-",IF(H143="Bank",IF(D143="Journal Entry","Payroll &amp; Benefits",IF(D143="Expense","Credit Card Payments","Journal Entries / Other")),"Journal Entries / Other"),IFERROR(INDEX('Mapping Reference'!$E:$E,MATCH(LEFT(L143,FIND(" ",L143)-1)&amp;" *",'Mapping Reference'!$B:$B,0)),"Unmapped")))</f>
        <v>Project Expenses</v>
      </c>
    </row>
    <row r="144" spans="1:17" x14ac:dyDescent="0.3">
      <c r="A144" s="2"/>
      <c r="B144" s="6">
        <v>46105</v>
      </c>
      <c r="C144" s="6">
        <v>46112</v>
      </c>
      <c r="D144" s="3" t="s">
        <v>425</v>
      </c>
      <c r="E144" s="154" t="s">
        <v>446</v>
      </c>
      <c r="F144" s="3" t="s">
        <v>163</v>
      </c>
      <c r="G144" s="153">
        <v>21000</v>
      </c>
      <c r="H144" s="3" t="s">
        <v>162</v>
      </c>
      <c r="I144" s="3" t="s">
        <v>270</v>
      </c>
      <c r="J144" s="154" t="s">
        <v>446</v>
      </c>
      <c r="K144" s="154" t="s">
        <v>446</v>
      </c>
      <c r="L144" s="3" t="s">
        <v>553</v>
      </c>
      <c r="M144" s="7">
        <v>-2093.75</v>
      </c>
      <c r="N144" s="7">
        <v>15351.22</v>
      </c>
      <c r="O144" t="s">
        <v>162</v>
      </c>
      <c r="P144" t="s">
        <v>161</v>
      </c>
      <c r="Q144" t="str">
        <f>IF(L144="","",IF(L144="-Split-",IF(H144="Bank",IF(D144="Journal Entry","Payroll &amp; Benefits",IF(D144="Expense","Credit Card Payments","Journal Entries / Other")),"Journal Entries / Other"),IFERROR(INDEX('Mapping Reference'!$E:$E,MATCH(LEFT(L144,FIND(" ",L144)-1)&amp;" *",'Mapping Reference'!$B:$B,0)),"Unmapped")))</f>
        <v>Cash &amp; Cash Equivalents</v>
      </c>
    </row>
    <row r="145" spans="1:17" x14ac:dyDescent="0.3">
      <c r="A145" s="2"/>
      <c r="B145" s="6">
        <v>46105</v>
      </c>
      <c r="C145" s="6">
        <v>46112</v>
      </c>
      <c r="D145" s="3" t="s">
        <v>425</v>
      </c>
      <c r="E145" s="154" t="s">
        <v>446</v>
      </c>
      <c r="F145" s="3" t="s">
        <v>163</v>
      </c>
      <c r="G145" s="153">
        <v>21000</v>
      </c>
      <c r="H145" s="3" t="s">
        <v>162</v>
      </c>
      <c r="I145" s="3" t="s">
        <v>270</v>
      </c>
      <c r="J145" s="154" t="s">
        <v>446</v>
      </c>
      <c r="K145" s="154" t="s">
        <v>446</v>
      </c>
      <c r="L145" s="3" t="s">
        <v>553</v>
      </c>
      <c r="M145" s="7">
        <v>-4726.9799999999996</v>
      </c>
      <c r="N145" s="7">
        <v>10624.24</v>
      </c>
      <c r="O145" t="s">
        <v>162</v>
      </c>
      <c r="P145" t="s">
        <v>161</v>
      </c>
      <c r="Q145" t="str">
        <f>IF(L145="","",IF(L145="-Split-",IF(H145="Bank",IF(D145="Journal Entry","Payroll &amp; Benefits",IF(D145="Expense","Credit Card Payments","Journal Entries / Other")),"Journal Entries / Other"),IFERROR(INDEX('Mapping Reference'!$E:$E,MATCH(LEFT(L145,FIND(" ",L145)-1)&amp;" *",'Mapping Reference'!$B:$B,0)),"Unmapped")))</f>
        <v>Cash &amp; Cash Equivalents</v>
      </c>
    </row>
    <row r="146" spans="1:17" x14ac:dyDescent="0.3">
      <c r="A146" s="2"/>
      <c r="B146" s="6">
        <v>46105</v>
      </c>
      <c r="C146" s="6">
        <v>46112</v>
      </c>
      <c r="D146" s="3" t="s">
        <v>397</v>
      </c>
      <c r="E146" s="154" t="s">
        <v>446</v>
      </c>
      <c r="F146" s="3" t="s">
        <v>163</v>
      </c>
      <c r="G146" s="153">
        <v>21000</v>
      </c>
      <c r="H146" s="3" t="s">
        <v>162</v>
      </c>
      <c r="I146" s="3" t="s">
        <v>270</v>
      </c>
      <c r="J146" s="154" t="s">
        <v>446</v>
      </c>
      <c r="K146" s="154" t="s">
        <v>446</v>
      </c>
      <c r="L146" s="3" t="s">
        <v>552</v>
      </c>
      <c r="M146" s="7">
        <v>89.46</v>
      </c>
      <c r="N146" s="7">
        <v>10713.7</v>
      </c>
      <c r="O146" t="s">
        <v>162</v>
      </c>
      <c r="P146" t="s">
        <v>161</v>
      </c>
      <c r="Q146" t="str">
        <f>IF(L146="","",IF(L146="-Split-",IF(H146="Bank",IF(D146="Journal Entry","Payroll &amp; Benefits",IF(D146="Expense","Credit Card Payments","Journal Entries / Other")),"Journal Entries / Other"),IFERROR(INDEX('Mapping Reference'!$E:$E,MATCH(LEFT(L146,FIND(" ",L146)-1)&amp;" *",'Mapping Reference'!$B:$B,0)),"Unmapped")))</f>
        <v>Project Expenses</v>
      </c>
    </row>
    <row r="147" spans="1:17" x14ac:dyDescent="0.3">
      <c r="A147" s="2"/>
      <c r="B147" s="6">
        <v>46105</v>
      </c>
      <c r="C147" s="6">
        <v>46112</v>
      </c>
      <c r="D147" s="3" t="s">
        <v>425</v>
      </c>
      <c r="E147" s="154" t="s">
        <v>446</v>
      </c>
      <c r="F147" s="3" t="s">
        <v>163</v>
      </c>
      <c r="G147" s="153">
        <v>21000</v>
      </c>
      <c r="H147" s="3" t="s">
        <v>162</v>
      </c>
      <c r="I147" s="3" t="s">
        <v>270</v>
      </c>
      <c r="J147" s="154" t="s">
        <v>446</v>
      </c>
      <c r="K147" s="154" t="s">
        <v>446</v>
      </c>
      <c r="L147" s="3" t="s">
        <v>553</v>
      </c>
      <c r="M147" s="7">
        <v>-6900</v>
      </c>
      <c r="N147" s="7">
        <v>3813.7</v>
      </c>
      <c r="O147" t="s">
        <v>162</v>
      </c>
      <c r="P147" t="s">
        <v>161</v>
      </c>
      <c r="Q147" t="str">
        <f>IF(L147="","",IF(L147="-Split-",IF(H147="Bank",IF(D147="Journal Entry","Payroll &amp; Benefits",IF(D147="Expense","Credit Card Payments","Journal Entries / Other")),"Journal Entries / Other"),IFERROR(INDEX('Mapping Reference'!$E:$E,MATCH(LEFT(L147,FIND(" ",L147)-1)&amp;" *",'Mapping Reference'!$B:$B,0)),"Unmapped")))</f>
        <v>Cash &amp; Cash Equivalents</v>
      </c>
    </row>
    <row r="148" spans="1:17" x14ac:dyDescent="0.3">
      <c r="A148" s="2"/>
      <c r="B148" s="6">
        <v>46105</v>
      </c>
      <c r="C148" s="6">
        <v>46112</v>
      </c>
      <c r="D148" s="3" t="s">
        <v>251</v>
      </c>
      <c r="E148" s="154" t="s">
        <v>446</v>
      </c>
      <c r="F148" s="3" t="s">
        <v>545</v>
      </c>
      <c r="G148" s="153">
        <v>21210</v>
      </c>
      <c r="H148" s="3" t="s">
        <v>256</v>
      </c>
      <c r="I148" s="3" t="s">
        <v>272</v>
      </c>
      <c r="J148" s="154" t="s">
        <v>446</v>
      </c>
      <c r="K148" s="154" t="s">
        <v>446</v>
      </c>
      <c r="L148" s="3" t="s">
        <v>424</v>
      </c>
      <c r="M148" s="7">
        <v>160</v>
      </c>
      <c r="N148" s="7">
        <v>12371.97</v>
      </c>
      <c r="O148" t="s">
        <v>162</v>
      </c>
      <c r="P148" t="s">
        <v>161</v>
      </c>
      <c r="Q148" t="str">
        <f>IF(L148="","",IF(L148="-Split-",IF(H148="Bank",IF(D148="Journal Entry","Payroll &amp; Benefits",IF(D148="Expense","Credit Card Payments","Journal Entries / Other")),"Journal Entries / Other"),IFERROR(INDEX('Mapping Reference'!$E:$E,MATCH(LEFT(L148,FIND(" ",L148)-1)&amp;" *",'Mapping Reference'!$B:$B,0)),"Unmapped")))</f>
        <v>Other G&amp;A</v>
      </c>
    </row>
    <row r="149" spans="1:17" x14ac:dyDescent="0.3">
      <c r="A149" s="2"/>
      <c r="B149" s="6">
        <v>46105</v>
      </c>
      <c r="C149" s="6">
        <v>46112</v>
      </c>
      <c r="D149" s="3" t="s">
        <v>251</v>
      </c>
      <c r="E149" s="154" t="s">
        <v>446</v>
      </c>
      <c r="F149" s="3" t="s">
        <v>545</v>
      </c>
      <c r="G149" s="153">
        <v>21210</v>
      </c>
      <c r="H149" s="3" t="s">
        <v>256</v>
      </c>
      <c r="I149" s="3" t="s">
        <v>272</v>
      </c>
      <c r="J149" s="154" t="s">
        <v>446</v>
      </c>
      <c r="K149" s="154" t="s">
        <v>446</v>
      </c>
      <c r="L149" s="3" t="s">
        <v>422</v>
      </c>
      <c r="M149" s="7">
        <v>64.47</v>
      </c>
      <c r="N149" s="7">
        <v>12436.44</v>
      </c>
      <c r="O149" t="s">
        <v>162</v>
      </c>
      <c r="P149" t="s">
        <v>161</v>
      </c>
      <c r="Q149" t="str">
        <f>IF(L149="","",IF(L149="-Split-",IF(H149="Bank",IF(D149="Journal Entry","Payroll &amp; Benefits",IF(D149="Expense","Credit Card Payments","Journal Entries / Other")),"Journal Entries / Other"),IFERROR(INDEX('Mapping Reference'!$E:$E,MATCH(LEFT(L149,FIND(" ",L149)-1)&amp;" *",'Mapping Reference'!$B:$B,0)),"Unmapped")))</f>
        <v>Software</v>
      </c>
    </row>
    <row r="150" spans="1:17" x14ac:dyDescent="0.3">
      <c r="A150" s="2"/>
      <c r="B150" s="6">
        <v>46105</v>
      </c>
      <c r="C150" s="6">
        <v>46112</v>
      </c>
      <c r="D150" s="3" t="s">
        <v>251</v>
      </c>
      <c r="E150" s="154" t="s">
        <v>446</v>
      </c>
      <c r="F150" s="3" t="s">
        <v>545</v>
      </c>
      <c r="G150" s="153">
        <v>21210</v>
      </c>
      <c r="H150" s="3" t="s">
        <v>256</v>
      </c>
      <c r="I150" s="3" t="s">
        <v>272</v>
      </c>
      <c r="J150" s="154" t="s">
        <v>446</v>
      </c>
      <c r="K150" s="154" t="s">
        <v>446</v>
      </c>
      <c r="L150" s="3" t="s">
        <v>424</v>
      </c>
      <c r="M150" s="7">
        <v>160</v>
      </c>
      <c r="N150" s="7">
        <v>12596.44</v>
      </c>
      <c r="O150" t="s">
        <v>162</v>
      </c>
      <c r="P150" t="s">
        <v>161</v>
      </c>
      <c r="Q150" t="str">
        <f>IF(L150="","",IF(L150="-Split-",IF(H150="Bank",IF(D150="Journal Entry","Payroll &amp; Benefits",IF(D150="Expense","Credit Card Payments","Journal Entries / Other")),"Journal Entries / Other"),IFERROR(INDEX('Mapping Reference'!$E:$E,MATCH(LEFT(L150,FIND(" ",L150)-1)&amp;" *",'Mapping Reference'!$B:$B,0)),"Unmapped")))</f>
        <v>Other G&amp;A</v>
      </c>
    </row>
    <row r="151" spans="1:17" x14ac:dyDescent="0.3">
      <c r="A151" s="2"/>
      <c r="B151" s="6">
        <v>46106</v>
      </c>
      <c r="C151" s="6">
        <v>46112</v>
      </c>
      <c r="D151" s="3" t="s">
        <v>251</v>
      </c>
      <c r="E151" s="154" t="s">
        <v>446</v>
      </c>
      <c r="F151" s="3" t="s">
        <v>147</v>
      </c>
      <c r="G151" s="153">
        <v>13100</v>
      </c>
      <c r="H151" s="3" t="s">
        <v>255</v>
      </c>
      <c r="I151" s="3" t="s">
        <v>265</v>
      </c>
      <c r="J151" s="154" t="s">
        <v>446</v>
      </c>
      <c r="K151" s="154" t="s">
        <v>446</v>
      </c>
      <c r="L151" s="3" t="s">
        <v>545</v>
      </c>
      <c r="M151" s="7">
        <v>5866.77</v>
      </c>
      <c r="N151" s="7">
        <v>15694.44</v>
      </c>
      <c r="O151" t="s">
        <v>143</v>
      </c>
      <c r="P151" t="s">
        <v>137</v>
      </c>
      <c r="Q151" t="str">
        <f>IF(L151="","",IF(L151="-Split-",IF(H151="Bank",IF(D151="Journal Entry","Payroll &amp; Benefits",IF(D151="Expense","Credit Card Payments","Journal Entries / Other")),"Journal Entries / Other"),IFERROR(INDEX('Mapping Reference'!$E:$E,MATCH(LEFT(L151,FIND(" ",L151)-1)&amp;" *",'Mapping Reference'!$B:$B,0)),"Unmapped")))</f>
        <v>Accounts Payable</v>
      </c>
    </row>
    <row r="152" spans="1:17" x14ac:dyDescent="0.3">
      <c r="A152" s="2"/>
      <c r="B152" s="6">
        <v>46106</v>
      </c>
      <c r="C152" s="6">
        <v>46112</v>
      </c>
      <c r="D152" s="3" t="s">
        <v>251</v>
      </c>
      <c r="E152" s="154" t="s">
        <v>446</v>
      </c>
      <c r="F152" s="3" t="s">
        <v>545</v>
      </c>
      <c r="G152" s="153">
        <v>21210</v>
      </c>
      <c r="H152" s="3" t="s">
        <v>256</v>
      </c>
      <c r="I152" s="3" t="s">
        <v>272</v>
      </c>
      <c r="J152" s="154" t="s">
        <v>446</v>
      </c>
      <c r="K152" s="154" t="s">
        <v>446</v>
      </c>
      <c r="L152" s="3" t="s">
        <v>423</v>
      </c>
      <c r="M152" s="7">
        <v>5866.77</v>
      </c>
      <c r="N152" s="7">
        <v>18463.21</v>
      </c>
      <c r="O152" t="s">
        <v>162</v>
      </c>
      <c r="P152" t="s">
        <v>161</v>
      </c>
      <c r="Q152" t="str">
        <f>IF(L152="","",IF(L152="-Split-",IF(H152="Bank",IF(D152="Journal Entry","Payroll &amp; Benefits",IF(D152="Expense","Credit Card Payments","Journal Entries / Other")),"Journal Entries / Other"),IFERROR(INDEX('Mapping Reference'!$E:$E,MATCH(LEFT(L152,FIND(" ",L152)-1)&amp;" *",'Mapping Reference'!$B:$B,0)),"Unmapped")))</f>
        <v>Other Current Assets</v>
      </c>
    </row>
    <row r="153" spans="1:17" x14ac:dyDescent="0.3">
      <c r="A153" s="2"/>
      <c r="B153" s="6">
        <v>46107</v>
      </c>
      <c r="C153" s="6">
        <v>46112</v>
      </c>
      <c r="D153" s="3" t="s">
        <v>251</v>
      </c>
      <c r="E153" s="154" t="s">
        <v>446</v>
      </c>
      <c r="F153" s="3" t="s">
        <v>553</v>
      </c>
      <c r="G153" s="153">
        <v>11010</v>
      </c>
      <c r="H153" s="3" t="s">
        <v>254</v>
      </c>
      <c r="I153" s="3" t="s">
        <v>262</v>
      </c>
      <c r="J153" s="154" t="s">
        <v>446</v>
      </c>
      <c r="K153" s="154" t="s">
        <v>446</v>
      </c>
      <c r="L153" s="3" t="s">
        <v>168</v>
      </c>
      <c r="M153" s="7">
        <v>-439.11</v>
      </c>
      <c r="N153" s="7">
        <v>171968.16</v>
      </c>
      <c r="O153" t="s">
        <v>232</v>
      </c>
      <c r="P153" t="s">
        <v>137</v>
      </c>
      <c r="Q153" t="str">
        <f>IF(L153="","",IF(L153="-Split-",IF(H153="Bank",IF(D153="Journal Entry","Payroll &amp; Benefits",IF(D153="Expense","Credit Card Payments","Journal Entries / Other")),"Journal Entries / Other"),IFERROR(INDEX('Mapping Reference'!$E:$E,MATCH(LEFT(L153,FIND(" ",L153)-1)&amp;" *",'Mapping Reference'!$B:$B,0)),"Unmapped")))</f>
        <v>Other Current Liabilities</v>
      </c>
    </row>
    <row r="154" spans="1:17" x14ac:dyDescent="0.3">
      <c r="A154" s="2"/>
      <c r="B154" s="6">
        <v>46107</v>
      </c>
      <c r="C154" s="6">
        <v>46112</v>
      </c>
      <c r="D154" s="3" t="s">
        <v>251</v>
      </c>
      <c r="E154" s="154" t="s">
        <v>446</v>
      </c>
      <c r="F154" s="3" t="s">
        <v>553</v>
      </c>
      <c r="G154" s="153">
        <v>11010</v>
      </c>
      <c r="H154" s="3" t="s">
        <v>254</v>
      </c>
      <c r="I154" s="3" t="s">
        <v>262</v>
      </c>
      <c r="J154" s="154" t="s">
        <v>446</v>
      </c>
      <c r="K154" s="154" t="s">
        <v>446</v>
      </c>
      <c r="L154" s="3" t="s">
        <v>168</v>
      </c>
      <c r="M154" s="7">
        <v>-162.32</v>
      </c>
      <c r="N154" s="7">
        <v>171805.84</v>
      </c>
      <c r="O154" t="s">
        <v>232</v>
      </c>
      <c r="P154" t="s">
        <v>137</v>
      </c>
      <c r="Q154" t="str">
        <f>IF(L154="","",IF(L154="-Split-",IF(H154="Bank",IF(D154="Journal Entry","Payroll &amp; Benefits",IF(D154="Expense","Credit Card Payments","Journal Entries / Other")),"Journal Entries / Other"),IFERROR(INDEX('Mapping Reference'!$E:$E,MATCH(LEFT(L154,FIND(" ",L154)-1)&amp;" *",'Mapping Reference'!$B:$B,0)),"Unmapped")))</f>
        <v>Other Current Liabilities</v>
      </c>
    </row>
    <row r="155" spans="1:17" x14ac:dyDescent="0.3">
      <c r="A155" s="2"/>
      <c r="B155" s="6">
        <v>46107</v>
      </c>
      <c r="C155" s="6">
        <v>46112</v>
      </c>
      <c r="D155" s="3" t="s">
        <v>421</v>
      </c>
      <c r="E155" s="154" t="s">
        <v>446</v>
      </c>
      <c r="F155" s="3" t="s">
        <v>553</v>
      </c>
      <c r="G155" s="153">
        <v>11010</v>
      </c>
      <c r="H155" s="3" t="s">
        <v>254</v>
      </c>
      <c r="I155" s="3" t="s">
        <v>262</v>
      </c>
      <c r="J155" s="154" t="s">
        <v>446</v>
      </c>
      <c r="K155" s="154" t="s">
        <v>446</v>
      </c>
      <c r="L155" s="3" t="s">
        <v>545</v>
      </c>
      <c r="M155" s="7">
        <v>-8631.3700000000008</v>
      </c>
      <c r="N155" s="7">
        <v>163174.47</v>
      </c>
      <c r="O155" t="s">
        <v>232</v>
      </c>
      <c r="P155" t="s">
        <v>137</v>
      </c>
      <c r="Q155" t="str">
        <f>IF(L155="","",IF(L155="-Split-",IF(H155="Bank",IF(D155="Journal Entry","Payroll &amp; Benefits",IF(D155="Expense","Credit Card Payments","Journal Entries / Other")),"Journal Entries / Other"),IFERROR(INDEX('Mapping Reference'!$E:$E,MATCH(LEFT(L155,FIND(" ",L155)-1)&amp;" *",'Mapping Reference'!$B:$B,0)),"Unmapped")))</f>
        <v>Accounts Payable</v>
      </c>
    </row>
    <row r="156" spans="1:17" x14ac:dyDescent="0.3">
      <c r="A156" s="2"/>
      <c r="B156" s="6">
        <v>46107</v>
      </c>
      <c r="C156" s="6">
        <v>46112</v>
      </c>
      <c r="D156" s="3" t="s">
        <v>251</v>
      </c>
      <c r="E156" s="154" t="s">
        <v>446</v>
      </c>
      <c r="F156" s="3" t="s">
        <v>553</v>
      </c>
      <c r="G156" s="153">
        <v>11010</v>
      </c>
      <c r="H156" s="3" t="s">
        <v>254</v>
      </c>
      <c r="I156" s="3" t="s">
        <v>262</v>
      </c>
      <c r="J156" s="154" t="s">
        <v>446</v>
      </c>
      <c r="K156" s="154" t="s">
        <v>446</v>
      </c>
      <c r="L156" s="3" t="s">
        <v>168</v>
      </c>
      <c r="M156" s="7">
        <v>-235.87</v>
      </c>
      <c r="N156" s="7">
        <v>162938.6</v>
      </c>
      <c r="O156" t="s">
        <v>232</v>
      </c>
      <c r="P156" t="s">
        <v>137</v>
      </c>
      <c r="Q156" t="str">
        <f>IF(L156="","",IF(L156="-Split-",IF(H156="Bank",IF(D156="Journal Entry","Payroll &amp; Benefits",IF(D156="Expense","Credit Card Payments","Journal Entries / Other")),"Journal Entries / Other"),IFERROR(INDEX('Mapping Reference'!$E:$E,MATCH(LEFT(L156,FIND(" ",L156)-1)&amp;" *",'Mapping Reference'!$B:$B,0)),"Unmapped")))</f>
        <v>Other Current Liabilities</v>
      </c>
    </row>
    <row r="157" spans="1:17" x14ac:dyDescent="0.3">
      <c r="A157" s="2"/>
      <c r="B157" s="6">
        <v>46107</v>
      </c>
      <c r="C157" s="6">
        <v>46112</v>
      </c>
      <c r="D157" s="3" t="s">
        <v>251</v>
      </c>
      <c r="E157" s="154" t="s">
        <v>446</v>
      </c>
      <c r="F157" s="3" t="s">
        <v>553</v>
      </c>
      <c r="G157" s="153">
        <v>11010</v>
      </c>
      <c r="H157" s="3" t="s">
        <v>254</v>
      </c>
      <c r="I157" s="3" t="s">
        <v>262</v>
      </c>
      <c r="J157" s="154" t="s">
        <v>446</v>
      </c>
      <c r="K157" s="154" t="s">
        <v>446</v>
      </c>
      <c r="L157" s="3" t="s">
        <v>168</v>
      </c>
      <c r="M157" s="7">
        <v>-485.11</v>
      </c>
      <c r="N157" s="7">
        <v>162453.49</v>
      </c>
      <c r="O157" t="s">
        <v>232</v>
      </c>
      <c r="P157" t="s">
        <v>137</v>
      </c>
      <c r="Q157" t="str">
        <f>IF(L157="","",IF(L157="-Split-",IF(H157="Bank",IF(D157="Journal Entry","Payroll &amp; Benefits",IF(D157="Expense","Credit Card Payments","Journal Entries / Other")),"Journal Entries / Other"),IFERROR(INDEX('Mapping Reference'!$E:$E,MATCH(LEFT(L157,FIND(" ",L157)-1)&amp;" *",'Mapping Reference'!$B:$B,0)),"Unmapped")))</f>
        <v>Other Current Liabilities</v>
      </c>
    </row>
    <row r="158" spans="1:17" x14ac:dyDescent="0.3">
      <c r="A158" s="2"/>
      <c r="B158" s="6">
        <v>46107</v>
      </c>
      <c r="C158" s="6">
        <v>46112</v>
      </c>
      <c r="D158" s="3" t="s">
        <v>251</v>
      </c>
      <c r="E158" s="154" t="s">
        <v>446</v>
      </c>
      <c r="F158" s="3" t="s">
        <v>545</v>
      </c>
      <c r="G158" s="153">
        <v>21210</v>
      </c>
      <c r="H158" s="3" t="s">
        <v>256</v>
      </c>
      <c r="I158" s="3" t="s">
        <v>272</v>
      </c>
      <c r="J158" s="154" t="s">
        <v>446</v>
      </c>
      <c r="K158" s="154" t="s">
        <v>446</v>
      </c>
      <c r="L158" s="3" t="s">
        <v>422</v>
      </c>
      <c r="M158" s="7">
        <v>93.01</v>
      </c>
      <c r="N158" s="7">
        <v>18556.22</v>
      </c>
      <c r="O158" t="s">
        <v>162</v>
      </c>
      <c r="P158" t="s">
        <v>161</v>
      </c>
      <c r="Q158" t="str">
        <f>IF(L158="","",IF(L158="-Split-",IF(H158="Bank",IF(D158="Journal Entry","Payroll &amp; Benefits",IF(D158="Expense","Credit Card Payments","Journal Entries / Other")),"Journal Entries / Other"),IFERROR(INDEX('Mapping Reference'!$E:$E,MATCH(LEFT(L158,FIND(" ",L158)-1)&amp;" *",'Mapping Reference'!$B:$B,0)),"Unmapped")))</f>
        <v>Software</v>
      </c>
    </row>
    <row r="159" spans="1:17" x14ac:dyDescent="0.3">
      <c r="A159" s="2"/>
      <c r="B159" s="6">
        <v>46107</v>
      </c>
      <c r="C159" s="6">
        <v>46112</v>
      </c>
      <c r="D159" s="3" t="s">
        <v>421</v>
      </c>
      <c r="E159" s="154" t="s">
        <v>446</v>
      </c>
      <c r="F159" s="3" t="s">
        <v>545</v>
      </c>
      <c r="G159" s="153">
        <v>21210</v>
      </c>
      <c r="H159" s="3" t="s">
        <v>256</v>
      </c>
      <c r="I159" s="3" t="s">
        <v>272</v>
      </c>
      <c r="J159" s="154" t="s">
        <v>446</v>
      </c>
      <c r="K159" s="154" t="s">
        <v>446</v>
      </c>
      <c r="L159" s="3" t="s">
        <v>553</v>
      </c>
      <c r="M159" s="7">
        <v>-8631.3700000000008</v>
      </c>
      <c r="N159" s="7">
        <v>9924.85</v>
      </c>
      <c r="O159" t="s">
        <v>162</v>
      </c>
      <c r="P159" t="s">
        <v>161</v>
      </c>
      <c r="Q159" t="str">
        <f>IF(L159="","",IF(L159="-Split-",IF(H159="Bank",IF(D159="Journal Entry","Payroll &amp; Benefits",IF(D159="Expense","Credit Card Payments","Journal Entries / Other")),"Journal Entries / Other"),IFERROR(INDEX('Mapping Reference'!$E:$E,MATCH(LEFT(L159,FIND(" ",L159)-1)&amp;" *",'Mapping Reference'!$B:$B,0)),"Unmapped")))</f>
        <v>Cash &amp; Cash Equivalents</v>
      </c>
    </row>
    <row r="160" spans="1:17" x14ac:dyDescent="0.3">
      <c r="A160" s="2"/>
      <c r="B160" s="6">
        <v>46107</v>
      </c>
      <c r="C160" s="6">
        <v>46112</v>
      </c>
      <c r="D160" s="3" t="s">
        <v>251</v>
      </c>
      <c r="E160" s="154" t="s">
        <v>446</v>
      </c>
      <c r="F160" s="3" t="s">
        <v>545</v>
      </c>
      <c r="G160" s="153">
        <v>21210</v>
      </c>
      <c r="H160" s="3" t="s">
        <v>256</v>
      </c>
      <c r="I160" s="3" t="s">
        <v>272</v>
      </c>
      <c r="J160" s="154" t="s">
        <v>446</v>
      </c>
      <c r="K160" s="154" t="s">
        <v>446</v>
      </c>
      <c r="L160" s="3" t="s">
        <v>420</v>
      </c>
      <c r="M160" s="7">
        <v>929.6</v>
      </c>
      <c r="N160" s="7">
        <v>10854.45</v>
      </c>
      <c r="O160" t="s">
        <v>162</v>
      </c>
      <c r="P160" t="s">
        <v>161</v>
      </c>
      <c r="Q160" t="str">
        <f>IF(L160="","",IF(L160="-Split-",IF(H160="Bank",IF(D160="Journal Entry","Payroll &amp; Benefits",IF(D160="Expense","Credit Card Payments","Journal Entries / Other")),"Journal Entries / Other"),IFERROR(INDEX('Mapping Reference'!$E:$E,MATCH(LEFT(L160,FIND(" ",L160)-1)&amp;" *",'Mapping Reference'!$B:$B,0)),"Unmapped")))</f>
        <v>Unmapped</v>
      </c>
    </row>
    <row r="161" spans="1:17" x14ac:dyDescent="0.3">
      <c r="A161" s="2"/>
      <c r="B161" s="6">
        <v>46107</v>
      </c>
      <c r="C161" s="6">
        <v>46112</v>
      </c>
      <c r="D161" s="3" t="s">
        <v>251</v>
      </c>
      <c r="E161" s="154" t="s">
        <v>446</v>
      </c>
      <c r="F161" s="3" t="s">
        <v>168</v>
      </c>
      <c r="G161" s="153">
        <v>22100</v>
      </c>
      <c r="H161" s="3" t="s">
        <v>257</v>
      </c>
      <c r="I161" s="3" t="s">
        <v>281</v>
      </c>
      <c r="J161" s="154" t="s">
        <v>446</v>
      </c>
      <c r="K161" s="154" t="s">
        <v>446</v>
      </c>
      <c r="L161" s="3" t="s">
        <v>553</v>
      </c>
      <c r="M161" s="7">
        <v>-235.87</v>
      </c>
      <c r="N161" s="7">
        <v>5555.83</v>
      </c>
      <c r="O161" t="s">
        <v>167</v>
      </c>
      <c r="P161" t="s">
        <v>161</v>
      </c>
      <c r="Q161" t="str">
        <f>IF(L161="","",IF(L161="-Split-",IF(H161="Bank",IF(D161="Journal Entry","Payroll &amp; Benefits",IF(D161="Expense","Credit Card Payments","Journal Entries / Other")),"Journal Entries / Other"),IFERROR(INDEX('Mapping Reference'!$E:$E,MATCH(LEFT(L161,FIND(" ",L161)-1)&amp;" *",'Mapping Reference'!$B:$B,0)),"Unmapped")))</f>
        <v>Cash &amp; Cash Equivalents</v>
      </c>
    </row>
    <row r="162" spans="1:17" x14ac:dyDescent="0.3">
      <c r="A162" s="2"/>
      <c r="B162" s="6">
        <v>46107</v>
      </c>
      <c r="C162" s="6">
        <v>46112</v>
      </c>
      <c r="D162" s="3" t="s">
        <v>251</v>
      </c>
      <c r="E162" s="154" t="s">
        <v>446</v>
      </c>
      <c r="F162" s="3" t="s">
        <v>168</v>
      </c>
      <c r="G162" s="153">
        <v>22100</v>
      </c>
      <c r="H162" s="3" t="s">
        <v>257</v>
      </c>
      <c r="I162" s="3" t="s">
        <v>281</v>
      </c>
      <c r="J162" s="154" t="s">
        <v>446</v>
      </c>
      <c r="K162" s="154" t="s">
        <v>446</v>
      </c>
      <c r="L162" s="3" t="s">
        <v>553</v>
      </c>
      <c r="M162" s="7">
        <v>-162.32</v>
      </c>
      <c r="N162" s="7">
        <v>5393.51</v>
      </c>
      <c r="O162" t="s">
        <v>167</v>
      </c>
      <c r="P162" t="s">
        <v>161</v>
      </c>
      <c r="Q162" t="str">
        <f>IF(L162="","",IF(L162="-Split-",IF(H162="Bank",IF(D162="Journal Entry","Payroll &amp; Benefits",IF(D162="Expense","Credit Card Payments","Journal Entries / Other")),"Journal Entries / Other"),IFERROR(INDEX('Mapping Reference'!$E:$E,MATCH(LEFT(L162,FIND(" ",L162)-1)&amp;" *",'Mapping Reference'!$B:$B,0)),"Unmapped")))</f>
        <v>Cash &amp; Cash Equivalents</v>
      </c>
    </row>
    <row r="163" spans="1:17" x14ac:dyDescent="0.3">
      <c r="A163" s="2"/>
      <c r="B163" s="6">
        <v>46107</v>
      </c>
      <c r="C163" s="6">
        <v>46112</v>
      </c>
      <c r="D163" s="3" t="s">
        <v>251</v>
      </c>
      <c r="E163" s="154" t="s">
        <v>446</v>
      </c>
      <c r="F163" s="3" t="s">
        <v>168</v>
      </c>
      <c r="G163" s="153">
        <v>22100</v>
      </c>
      <c r="H163" s="3" t="s">
        <v>257</v>
      </c>
      <c r="I163" s="3" t="s">
        <v>281</v>
      </c>
      <c r="J163" s="154" t="s">
        <v>446</v>
      </c>
      <c r="K163" s="154" t="s">
        <v>446</v>
      </c>
      <c r="L163" s="3" t="s">
        <v>553</v>
      </c>
      <c r="M163" s="7">
        <v>-485.11</v>
      </c>
      <c r="N163" s="7">
        <v>4908.3999999999996</v>
      </c>
      <c r="O163" t="s">
        <v>167</v>
      </c>
      <c r="P163" t="s">
        <v>161</v>
      </c>
      <c r="Q163" t="str">
        <f>IF(L163="","",IF(L163="-Split-",IF(H163="Bank",IF(D163="Journal Entry","Payroll &amp; Benefits",IF(D163="Expense","Credit Card Payments","Journal Entries / Other")),"Journal Entries / Other"),IFERROR(INDEX('Mapping Reference'!$E:$E,MATCH(LEFT(L163,FIND(" ",L163)-1)&amp;" *",'Mapping Reference'!$B:$B,0)),"Unmapped")))</f>
        <v>Cash &amp; Cash Equivalents</v>
      </c>
    </row>
    <row r="164" spans="1:17" x14ac:dyDescent="0.3">
      <c r="A164" s="2"/>
      <c r="B164" s="6">
        <v>46107</v>
      </c>
      <c r="C164" s="6">
        <v>46112</v>
      </c>
      <c r="D164" s="3" t="s">
        <v>251</v>
      </c>
      <c r="E164" s="154" t="s">
        <v>446</v>
      </c>
      <c r="F164" s="3" t="s">
        <v>168</v>
      </c>
      <c r="G164" s="153">
        <v>22100</v>
      </c>
      <c r="H164" s="3" t="s">
        <v>257</v>
      </c>
      <c r="I164" s="3" t="s">
        <v>281</v>
      </c>
      <c r="J164" s="154" t="s">
        <v>446</v>
      </c>
      <c r="K164" s="154" t="s">
        <v>446</v>
      </c>
      <c r="L164" s="3" t="s">
        <v>553</v>
      </c>
      <c r="M164" s="7">
        <v>-439.11</v>
      </c>
      <c r="N164" s="7">
        <v>4469.29</v>
      </c>
      <c r="O164" t="s">
        <v>167</v>
      </c>
      <c r="P164" t="s">
        <v>161</v>
      </c>
      <c r="Q164" t="str">
        <f>IF(L164="","",IF(L164="-Split-",IF(H164="Bank",IF(D164="Journal Entry","Payroll &amp; Benefits",IF(D164="Expense","Credit Card Payments","Journal Entries / Other")),"Journal Entries / Other"),IFERROR(INDEX('Mapping Reference'!$E:$E,MATCH(LEFT(L164,FIND(" ",L164)-1)&amp;" *",'Mapping Reference'!$B:$B,0)),"Unmapped")))</f>
        <v>Cash &amp; Cash Equivalents</v>
      </c>
    </row>
    <row r="165" spans="1:17" x14ac:dyDescent="0.3">
      <c r="A165" s="2"/>
      <c r="B165" s="6">
        <v>46108</v>
      </c>
      <c r="C165" s="6">
        <v>46112</v>
      </c>
      <c r="D165" s="3" t="s">
        <v>395</v>
      </c>
      <c r="E165" s="154" t="s">
        <v>446</v>
      </c>
      <c r="F165" s="3" t="s">
        <v>553</v>
      </c>
      <c r="G165" s="153">
        <v>11010</v>
      </c>
      <c r="H165" s="3" t="s">
        <v>254</v>
      </c>
      <c r="I165" s="3" t="s">
        <v>262</v>
      </c>
      <c r="J165" s="154" t="s">
        <v>446</v>
      </c>
      <c r="K165" s="154" t="s">
        <v>446</v>
      </c>
      <c r="L165" s="3" t="s">
        <v>394</v>
      </c>
      <c r="M165" s="7">
        <v>-28024.12</v>
      </c>
      <c r="N165" s="7">
        <v>134429.37</v>
      </c>
      <c r="O165" t="s">
        <v>232</v>
      </c>
      <c r="P165" t="s">
        <v>137</v>
      </c>
      <c r="Q165" t="str">
        <f>IF(L165="","",IF(L165="-Split-",IF(H165="Bank",IF(D165="Journal Entry","Payroll &amp; Benefits",IF(D165="Expense","Credit Card Payments","Journal Entries / Other")),"Journal Entries / Other"),IFERROR(INDEX('Mapping Reference'!$E:$E,MATCH(LEFT(L165,FIND(" ",L165)-1)&amp;" *",'Mapping Reference'!$B:$B,0)),"Unmapped")))</f>
        <v>Payroll &amp; Benefits</v>
      </c>
    </row>
    <row r="166" spans="1:17" x14ac:dyDescent="0.3">
      <c r="A166" s="2"/>
      <c r="B166" s="6">
        <v>46108</v>
      </c>
      <c r="C166" s="6">
        <v>46112</v>
      </c>
      <c r="D166" s="3" t="s">
        <v>395</v>
      </c>
      <c r="E166" s="154" t="s">
        <v>446</v>
      </c>
      <c r="F166" s="3" t="s">
        <v>553</v>
      </c>
      <c r="G166" s="153">
        <v>11010</v>
      </c>
      <c r="H166" s="3" t="s">
        <v>254</v>
      </c>
      <c r="I166" s="3" t="s">
        <v>262</v>
      </c>
      <c r="J166" s="154" t="s">
        <v>446</v>
      </c>
      <c r="K166" s="154" t="s">
        <v>446</v>
      </c>
      <c r="L166" s="3" t="s">
        <v>394</v>
      </c>
      <c r="M166" s="7">
        <v>-7627.43</v>
      </c>
      <c r="N166" s="7">
        <v>126801.94</v>
      </c>
      <c r="O166" t="s">
        <v>232</v>
      </c>
      <c r="P166" t="s">
        <v>137</v>
      </c>
      <c r="Q166" t="str">
        <f>IF(L166="","",IF(L166="-Split-",IF(H166="Bank",IF(D166="Journal Entry","Payroll &amp; Benefits",IF(D166="Expense","Credit Card Payments","Journal Entries / Other")),"Journal Entries / Other"),IFERROR(INDEX('Mapping Reference'!$E:$E,MATCH(LEFT(L166,FIND(" ",L166)-1)&amp;" *",'Mapping Reference'!$B:$B,0)),"Unmapped")))</f>
        <v>Payroll &amp; Benefits</v>
      </c>
    </row>
    <row r="167" spans="1:17" x14ac:dyDescent="0.3">
      <c r="A167" s="2"/>
      <c r="B167" s="6">
        <v>46108</v>
      </c>
      <c r="C167" s="6">
        <v>46112</v>
      </c>
      <c r="D167" s="3" t="s">
        <v>395</v>
      </c>
      <c r="E167" s="154" t="s">
        <v>446</v>
      </c>
      <c r="F167" s="3" t="s">
        <v>168</v>
      </c>
      <c r="G167" s="153">
        <v>22100</v>
      </c>
      <c r="H167" s="3" t="s">
        <v>257</v>
      </c>
      <c r="I167" s="3" t="s">
        <v>281</v>
      </c>
      <c r="J167" s="154" t="s">
        <v>446</v>
      </c>
      <c r="K167" s="154" t="s">
        <v>446</v>
      </c>
      <c r="L167" s="3" t="s">
        <v>394</v>
      </c>
      <c r="M167" s="7">
        <v>4594</v>
      </c>
      <c r="N167" s="7">
        <v>9063.2900000000009</v>
      </c>
      <c r="O167" t="s">
        <v>167</v>
      </c>
      <c r="P167" t="s">
        <v>161</v>
      </c>
      <c r="Q167" t="str">
        <f>IF(L167="","",IF(L167="-Split-",IF(H167="Bank",IF(D167="Journal Entry","Payroll &amp; Benefits",IF(D167="Expense","Credit Card Payments","Journal Entries / Other")),"Journal Entries / Other"),IFERROR(INDEX('Mapping Reference'!$E:$E,MATCH(LEFT(L167,FIND(" ",L167)-1)&amp;" *",'Mapping Reference'!$B:$B,0)),"Unmapped")))</f>
        <v>Journal Entries / Other</v>
      </c>
    </row>
    <row r="168" spans="1:17" x14ac:dyDescent="0.3">
      <c r="A168" s="2"/>
      <c r="B168" s="6">
        <v>46108</v>
      </c>
      <c r="C168" s="6">
        <v>46112</v>
      </c>
      <c r="D168" s="3" t="s">
        <v>395</v>
      </c>
      <c r="E168" s="154" t="s">
        <v>446</v>
      </c>
      <c r="F168" s="3" t="s">
        <v>168</v>
      </c>
      <c r="G168" s="153">
        <v>22100</v>
      </c>
      <c r="H168" s="3" t="s">
        <v>257</v>
      </c>
      <c r="I168" s="3" t="s">
        <v>281</v>
      </c>
      <c r="J168" s="154" t="s">
        <v>446</v>
      </c>
      <c r="K168" s="154" t="s">
        <v>446</v>
      </c>
      <c r="L168" s="3" t="s">
        <v>394</v>
      </c>
      <c r="M168" s="7">
        <v>1754.77</v>
      </c>
      <c r="N168" s="7">
        <v>10818.06</v>
      </c>
      <c r="O168" t="s">
        <v>167</v>
      </c>
      <c r="P168" t="s">
        <v>161</v>
      </c>
      <c r="Q168" t="str">
        <f>IF(L168="","",IF(L168="-Split-",IF(H168="Bank",IF(D168="Journal Entry","Payroll &amp; Benefits",IF(D168="Expense","Credit Card Payments","Journal Entries / Other")),"Journal Entries / Other"),IFERROR(INDEX('Mapping Reference'!$E:$E,MATCH(LEFT(L168,FIND(" ",L168)-1)&amp;" *",'Mapping Reference'!$B:$B,0)),"Unmapped")))</f>
        <v>Journal Entries / Other</v>
      </c>
    </row>
    <row r="169" spans="1:17" x14ac:dyDescent="0.3">
      <c r="A169" s="2"/>
      <c r="B169" s="6">
        <v>46109</v>
      </c>
      <c r="C169" s="6">
        <v>46112</v>
      </c>
      <c r="D169" s="3" t="s">
        <v>251</v>
      </c>
      <c r="E169" s="154" t="s">
        <v>446</v>
      </c>
      <c r="F169" s="3" t="s">
        <v>553</v>
      </c>
      <c r="G169" s="153">
        <v>11010</v>
      </c>
      <c r="H169" s="3" t="s">
        <v>254</v>
      </c>
      <c r="I169" s="3" t="s">
        <v>262</v>
      </c>
      <c r="J169" s="154" t="s">
        <v>446</v>
      </c>
      <c r="K169" s="154" t="s">
        <v>446</v>
      </c>
      <c r="L169" s="3" t="s">
        <v>168</v>
      </c>
      <c r="M169" s="7">
        <v>-1754.77</v>
      </c>
      <c r="N169" s="7">
        <v>125047.17</v>
      </c>
      <c r="O169" t="s">
        <v>232</v>
      </c>
      <c r="P169" t="s">
        <v>137</v>
      </c>
      <c r="Q169" t="str">
        <f>IF(L169="","",IF(L169="-Split-",IF(H169="Bank",IF(D169="Journal Entry","Payroll &amp; Benefits",IF(D169="Expense","Credit Card Payments","Journal Entries / Other")),"Journal Entries / Other"),IFERROR(INDEX('Mapping Reference'!$E:$E,MATCH(LEFT(L169,FIND(" ",L169)-1)&amp;" *",'Mapping Reference'!$B:$B,0)),"Unmapped")))</f>
        <v>Other Current Liabilities</v>
      </c>
    </row>
    <row r="170" spans="1:17" x14ac:dyDescent="0.3">
      <c r="A170" s="2"/>
      <c r="B170" s="6">
        <v>46109</v>
      </c>
      <c r="C170" s="6">
        <v>46112</v>
      </c>
      <c r="D170" s="3" t="s">
        <v>251</v>
      </c>
      <c r="E170" s="154" t="s">
        <v>446</v>
      </c>
      <c r="F170" s="3" t="s">
        <v>168</v>
      </c>
      <c r="G170" s="153">
        <v>22100</v>
      </c>
      <c r="H170" s="3" t="s">
        <v>257</v>
      </c>
      <c r="I170" s="3" t="s">
        <v>281</v>
      </c>
      <c r="J170" s="154" t="s">
        <v>446</v>
      </c>
      <c r="K170" s="154" t="s">
        <v>446</v>
      </c>
      <c r="L170" s="3" t="s">
        <v>553</v>
      </c>
      <c r="M170" s="7">
        <v>-1754.77</v>
      </c>
      <c r="N170" s="7">
        <v>9063.2900000000009</v>
      </c>
      <c r="O170" t="s">
        <v>167</v>
      </c>
      <c r="P170" t="s">
        <v>161</v>
      </c>
      <c r="Q170" t="str">
        <f>IF(L170="","",IF(L170="-Split-",IF(H170="Bank",IF(D170="Journal Entry","Payroll &amp; Benefits",IF(D170="Expense","Credit Card Payments","Journal Entries / Other")),"Journal Entries / Other"),IFERROR(INDEX('Mapping Reference'!$E:$E,MATCH(LEFT(L170,FIND(" ",L170)-1)&amp;" *",'Mapping Reference'!$B:$B,0)),"Unmapped")))</f>
        <v>Cash &amp; Cash Equivalents</v>
      </c>
    </row>
    <row r="171" spans="1:17" x14ac:dyDescent="0.3">
      <c r="A171" s="2"/>
      <c r="B171" s="6">
        <v>46111</v>
      </c>
      <c r="C171" s="6">
        <v>46112</v>
      </c>
      <c r="D171" s="3" t="s">
        <v>419</v>
      </c>
      <c r="E171" s="154" t="s">
        <v>446</v>
      </c>
      <c r="F171" s="3" t="s">
        <v>553</v>
      </c>
      <c r="G171" s="153">
        <v>11010</v>
      </c>
      <c r="H171" s="3" t="s">
        <v>254</v>
      </c>
      <c r="I171" s="3" t="s">
        <v>262</v>
      </c>
      <c r="J171" s="154" t="s">
        <v>446</v>
      </c>
      <c r="K171" s="154" t="s">
        <v>446</v>
      </c>
      <c r="L171" s="3" t="s">
        <v>141</v>
      </c>
      <c r="M171" s="7">
        <v>5535.63</v>
      </c>
      <c r="N171" s="7">
        <v>130582.8</v>
      </c>
      <c r="O171" t="s">
        <v>232</v>
      </c>
      <c r="P171" t="s">
        <v>137</v>
      </c>
      <c r="Q171" t="str">
        <f>IF(L171="","",IF(L171="-Split-",IF(H171="Bank",IF(D171="Journal Entry","Payroll &amp; Benefits",IF(D171="Expense","Credit Card Payments","Journal Entries / Other")),"Journal Entries / Other"),IFERROR(INDEX('Mapping Reference'!$E:$E,MATCH(LEFT(L171,FIND(" ",L171)-1)&amp;" *",'Mapping Reference'!$B:$B,0)),"Unmapped")))</f>
        <v>Accounts Receivable (A/R)</v>
      </c>
    </row>
    <row r="172" spans="1:17" x14ac:dyDescent="0.3">
      <c r="A172" s="2"/>
      <c r="B172" s="6">
        <v>46111</v>
      </c>
      <c r="C172" s="6">
        <v>46112</v>
      </c>
      <c r="D172" s="3" t="s">
        <v>419</v>
      </c>
      <c r="E172" s="154" t="s">
        <v>446</v>
      </c>
      <c r="F172" s="3" t="s">
        <v>553</v>
      </c>
      <c r="G172" s="153">
        <v>11010</v>
      </c>
      <c r="H172" s="3" t="s">
        <v>254</v>
      </c>
      <c r="I172" s="3" t="s">
        <v>262</v>
      </c>
      <c r="J172" s="154" t="s">
        <v>446</v>
      </c>
      <c r="K172" s="154" t="s">
        <v>446</v>
      </c>
      <c r="L172" s="3" t="s">
        <v>141</v>
      </c>
      <c r="M172" s="7">
        <v>3500</v>
      </c>
      <c r="N172" s="7">
        <v>134082.79999999999</v>
      </c>
      <c r="O172" t="s">
        <v>232</v>
      </c>
      <c r="P172" t="s">
        <v>137</v>
      </c>
      <c r="Q172" t="str">
        <f>IF(L172="","",IF(L172="-Split-",IF(H172="Bank",IF(D172="Journal Entry","Payroll &amp; Benefits",IF(D172="Expense","Credit Card Payments","Journal Entries / Other")),"Journal Entries / Other"),IFERROR(INDEX('Mapping Reference'!$E:$E,MATCH(LEFT(L172,FIND(" ",L172)-1)&amp;" *",'Mapping Reference'!$B:$B,0)),"Unmapped")))</f>
        <v>Accounts Receivable (A/R)</v>
      </c>
    </row>
    <row r="173" spans="1:17" x14ac:dyDescent="0.3">
      <c r="A173" s="2"/>
      <c r="B173" s="6">
        <v>46111</v>
      </c>
      <c r="C173" s="6">
        <v>46112</v>
      </c>
      <c r="D173" s="3" t="s">
        <v>419</v>
      </c>
      <c r="E173" s="154" t="s">
        <v>446</v>
      </c>
      <c r="F173" s="3" t="s">
        <v>553</v>
      </c>
      <c r="G173" s="153">
        <v>11010</v>
      </c>
      <c r="H173" s="3" t="s">
        <v>254</v>
      </c>
      <c r="I173" s="3" t="s">
        <v>262</v>
      </c>
      <c r="J173" s="154" t="s">
        <v>446</v>
      </c>
      <c r="K173" s="154" t="s">
        <v>446</v>
      </c>
      <c r="L173" s="3" t="s">
        <v>141</v>
      </c>
      <c r="M173" s="7">
        <v>3500</v>
      </c>
      <c r="N173" s="7">
        <v>137582.79999999999</v>
      </c>
      <c r="O173" t="s">
        <v>232</v>
      </c>
      <c r="P173" t="s">
        <v>137</v>
      </c>
      <c r="Q173" t="str">
        <f>IF(L173="","",IF(L173="-Split-",IF(H173="Bank",IF(D173="Journal Entry","Payroll &amp; Benefits",IF(D173="Expense","Credit Card Payments","Journal Entries / Other")),"Journal Entries / Other"),IFERROR(INDEX('Mapping Reference'!$E:$E,MATCH(LEFT(L173,FIND(" ",L173)-1)&amp;" *",'Mapping Reference'!$B:$B,0)),"Unmapped")))</f>
        <v>Accounts Receivable (A/R)</v>
      </c>
    </row>
    <row r="174" spans="1:17" x14ac:dyDescent="0.3">
      <c r="A174" s="2"/>
      <c r="B174" s="6">
        <v>46111</v>
      </c>
      <c r="C174" s="6">
        <v>46112</v>
      </c>
      <c r="D174" s="3" t="s">
        <v>419</v>
      </c>
      <c r="E174" s="154" t="s">
        <v>446</v>
      </c>
      <c r="F174" s="3" t="s">
        <v>141</v>
      </c>
      <c r="G174" s="153">
        <v>12100</v>
      </c>
      <c r="H174" s="3" t="s">
        <v>140</v>
      </c>
      <c r="I174" s="3" t="s">
        <v>264</v>
      </c>
      <c r="J174" s="154" t="s">
        <v>446</v>
      </c>
      <c r="K174" s="154" t="s">
        <v>446</v>
      </c>
      <c r="L174" s="3" t="s">
        <v>553</v>
      </c>
      <c r="M174" s="7">
        <v>-3500</v>
      </c>
      <c r="N174" s="7">
        <v>119054.58</v>
      </c>
      <c r="O174" t="s">
        <v>233</v>
      </c>
      <c r="P174" t="s">
        <v>137</v>
      </c>
      <c r="Q174" t="str">
        <f>IF(L174="","",IF(L174="-Split-",IF(H174="Bank",IF(D174="Journal Entry","Payroll &amp; Benefits",IF(D174="Expense","Credit Card Payments","Journal Entries / Other")),"Journal Entries / Other"),IFERROR(INDEX('Mapping Reference'!$E:$E,MATCH(LEFT(L174,FIND(" ",L174)-1)&amp;" *",'Mapping Reference'!$B:$B,0)),"Unmapped")))</f>
        <v>Cash &amp; Cash Equivalents</v>
      </c>
    </row>
    <row r="175" spans="1:17" x14ac:dyDescent="0.3">
      <c r="A175" s="2"/>
      <c r="B175" s="6">
        <v>46111</v>
      </c>
      <c r="C175" s="6">
        <v>46112</v>
      </c>
      <c r="D175" s="3" t="s">
        <v>419</v>
      </c>
      <c r="E175" s="154" t="s">
        <v>446</v>
      </c>
      <c r="F175" s="3" t="s">
        <v>141</v>
      </c>
      <c r="G175" s="153">
        <v>12100</v>
      </c>
      <c r="H175" s="3" t="s">
        <v>140</v>
      </c>
      <c r="I175" s="3" t="s">
        <v>264</v>
      </c>
      <c r="J175" s="154" t="s">
        <v>446</v>
      </c>
      <c r="K175" s="154" t="s">
        <v>446</v>
      </c>
      <c r="L175" s="3" t="s">
        <v>553</v>
      </c>
      <c r="M175" s="7">
        <v>-3500</v>
      </c>
      <c r="N175" s="7">
        <v>115554.58</v>
      </c>
      <c r="O175" t="s">
        <v>233</v>
      </c>
      <c r="P175" t="s">
        <v>137</v>
      </c>
      <c r="Q175" t="str">
        <f>IF(L175="","",IF(L175="-Split-",IF(H175="Bank",IF(D175="Journal Entry","Payroll &amp; Benefits",IF(D175="Expense","Credit Card Payments","Journal Entries / Other")),"Journal Entries / Other"),IFERROR(INDEX('Mapping Reference'!$E:$E,MATCH(LEFT(L175,FIND(" ",L175)-1)&amp;" *",'Mapping Reference'!$B:$B,0)),"Unmapped")))</f>
        <v>Cash &amp; Cash Equivalents</v>
      </c>
    </row>
    <row r="176" spans="1:17" x14ac:dyDescent="0.3">
      <c r="A176" s="2"/>
      <c r="B176" s="6">
        <v>46111</v>
      </c>
      <c r="C176" s="6">
        <v>46112</v>
      </c>
      <c r="D176" s="3" t="s">
        <v>419</v>
      </c>
      <c r="E176" s="154" t="s">
        <v>446</v>
      </c>
      <c r="F176" s="3" t="s">
        <v>141</v>
      </c>
      <c r="G176" s="153">
        <v>12100</v>
      </c>
      <c r="H176" s="3" t="s">
        <v>140</v>
      </c>
      <c r="I176" s="3" t="s">
        <v>264</v>
      </c>
      <c r="J176" s="154" t="s">
        <v>446</v>
      </c>
      <c r="K176" s="154" t="s">
        <v>446</v>
      </c>
      <c r="L176" s="3" t="s">
        <v>553</v>
      </c>
      <c r="M176" s="7">
        <v>-5535.63</v>
      </c>
      <c r="N176" s="7">
        <v>110018.95</v>
      </c>
      <c r="O176" t="s">
        <v>233</v>
      </c>
      <c r="P176" t="s">
        <v>137</v>
      </c>
      <c r="Q176" t="str">
        <f>IF(L176="","",IF(L176="-Split-",IF(H176="Bank",IF(D176="Journal Entry","Payroll &amp; Benefits",IF(D176="Expense","Credit Card Payments","Journal Entries / Other")),"Journal Entries / Other"),IFERROR(INDEX('Mapping Reference'!$E:$E,MATCH(LEFT(L176,FIND(" ",L176)-1)&amp;" *",'Mapping Reference'!$B:$B,0)),"Unmapped")))</f>
        <v>Cash &amp; Cash Equivalents</v>
      </c>
    </row>
    <row r="177" spans="1:17" x14ac:dyDescent="0.3">
      <c r="A177" s="2"/>
      <c r="B177" s="6">
        <v>46111</v>
      </c>
      <c r="C177" s="6">
        <v>46112</v>
      </c>
      <c r="D177" s="3" t="s">
        <v>397</v>
      </c>
      <c r="E177" s="154" t="s">
        <v>446</v>
      </c>
      <c r="F177" s="3" t="s">
        <v>163</v>
      </c>
      <c r="G177" s="153">
        <v>21000</v>
      </c>
      <c r="H177" s="3" t="s">
        <v>162</v>
      </c>
      <c r="I177" s="3" t="s">
        <v>270</v>
      </c>
      <c r="J177" s="154" t="s">
        <v>446</v>
      </c>
      <c r="K177" s="154" t="s">
        <v>446</v>
      </c>
      <c r="L177" s="3" t="s">
        <v>552</v>
      </c>
      <c r="M177" s="7">
        <v>1600</v>
      </c>
      <c r="N177" s="7">
        <v>5413.7</v>
      </c>
      <c r="O177" t="s">
        <v>162</v>
      </c>
      <c r="P177" t="s">
        <v>161</v>
      </c>
      <c r="Q177" t="str">
        <f>IF(L177="","",IF(L177="-Split-",IF(H177="Bank",IF(D177="Journal Entry","Payroll &amp; Benefits",IF(D177="Expense","Credit Card Payments","Journal Entries / Other")),"Journal Entries / Other"),IFERROR(INDEX('Mapping Reference'!$E:$E,MATCH(LEFT(L177,FIND(" ",L177)-1)&amp;" *",'Mapping Reference'!$B:$B,0)),"Unmapped")))</f>
        <v>Project Expenses</v>
      </c>
    </row>
    <row r="178" spans="1:17" x14ac:dyDescent="0.3">
      <c r="A178" s="2"/>
      <c r="B178" s="6">
        <v>46112</v>
      </c>
      <c r="C178" s="6">
        <v>46112</v>
      </c>
      <c r="D178" s="3" t="s">
        <v>395</v>
      </c>
      <c r="E178" s="154" t="s">
        <v>446</v>
      </c>
      <c r="F178" s="3" t="s">
        <v>147</v>
      </c>
      <c r="G178" s="153">
        <v>13100</v>
      </c>
      <c r="H178" s="3" t="s">
        <v>255</v>
      </c>
      <c r="I178" s="3" t="s">
        <v>265</v>
      </c>
      <c r="J178" s="154" t="s">
        <v>446</v>
      </c>
      <c r="K178" s="154" t="s">
        <v>446</v>
      </c>
      <c r="L178" s="3" t="s">
        <v>394</v>
      </c>
      <c r="M178" s="7">
        <v>-982.77</v>
      </c>
      <c r="N178" s="7">
        <v>14711.67</v>
      </c>
      <c r="O178" t="s">
        <v>143</v>
      </c>
      <c r="P178" t="s">
        <v>137</v>
      </c>
      <c r="Q178" t="str">
        <f>IF(L178="","",IF(L178="-Split-",IF(H178="Bank",IF(D178="Journal Entry","Payroll &amp; Benefits",IF(D178="Expense","Credit Card Payments","Journal Entries / Other")),"Journal Entries / Other"),IFERROR(INDEX('Mapping Reference'!$E:$E,MATCH(LEFT(L178,FIND(" ",L178)-1)&amp;" *",'Mapping Reference'!$B:$B,0)),"Unmapped")))</f>
        <v>Journal Entries / Other</v>
      </c>
    </row>
    <row r="179" spans="1:17" x14ac:dyDescent="0.3">
      <c r="A179" s="2"/>
      <c r="B179" s="6">
        <v>46112</v>
      </c>
      <c r="C179" s="6">
        <v>46112</v>
      </c>
      <c r="D179" s="3" t="s">
        <v>397</v>
      </c>
      <c r="E179" s="154" t="s">
        <v>446</v>
      </c>
      <c r="F179" s="3" t="s">
        <v>163</v>
      </c>
      <c r="G179" s="153">
        <v>21000</v>
      </c>
      <c r="H179" s="3" t="s">
        <v>162</v>
      </c>
      <c r="I179" s="3" t="s">
        <v>270</v>
      </c>
      <c r="J179" s="154" t="s">
        <v>446</v>
      </c>
      <c r="K179" s="154" t="s">
        <v>446</v>
      </c>
      <c r="L179" s="3" t="s">
        <v>394</v>
      </c>
      <c r="M179" s="7">
        <v>991.54</v>
      </c>
      <c r="N179" s="7">
        <v>6405.24</v>
      </c>
      <c r="O179" t="s">
        <v>162</v>
      </c>
      <c r="P179" t="s">
        <v>161</v>
      </c>
      <c r="Q179" t="str">
        <f>IF(L179="","",IF(L179="-Split-",IF(H179="Bank",IF(D179="Journal Entry","Payroll &amp; Benefits",IF(D179="Expense","Credit Card Payments","Journal Entries / Other")),"Journal Entries / Other"),IFERROR(INDEX('Mapping Reference'!$E:$E,MATCH(LEFT(L179,FIND(" ",L179)-1)&amp;" *",'Mapping Reference'!$B:$B,0)),"Unmapped")))</f>
        <v>Journal Entries / Other</v>
      </c>
    </row>
    <row r="180" spans="1:17" x14ac:dyDescent="0.3">
      <c r="A180" s="2"/>
      <c r="B180" s="6">
        <v>46112</v>
      </c>
      <c r="C180" s="6">
        <v>46112</v>
      </c>
      <c r="D180" s="3" t="s">
        <v>395</v>
      </c>
      <c r="E180" s="154" t="s">
        <v>446</v>
      </c>
      <c r="F180" s="3" t="s">
        <v>169</v>
      </c>
      <c r="G180" s="153">
        <v>22110</v>
      </c>
      <c r="H180" s="3" t="s">
        <v>257</v>
      </c>
      <c r="I180" s="3" t="s">
        <v>281</v>
      </c>
      <c r="J180" s="154" t="s">
        <v>446</v>
      </c>
      <c r="K180" s="154" t="s">
        <v>446</v>
      </c>
      <c r="L180" s="3" t="s">
        <v>394</v>
      </c>
      <c r="M180" s="7">
        <v>25047.97</v>
      </c>
      <c r="N180" s="7">
        <v>25047.97</v>
      </c>
      <c r="O180" t="s">
        <v>167</v>
      </c>
      <c r="P180" t="s">
        <v>161</v>
      </c>
      <c r="Q180" t="str">
        <f>IF(L180="","",IF(L180="-Split-",IF(H180="Bank",IF(D180="Journal Entry","Payroll &amp; Benefits",IF(D180="Expense","Credit Card Payments","Journal Entries / Other")),"Journal Entries / Other"),IFERROR(INDEX('Mapping Reference'!$E:$E,MATCH(LEFT(L180,FIND(" ",L180)-1)&amp;" *",'Mapping Reference'!$B:$B,0)),"Unmapped")))</f>
        <v>Journal Entries / Other</v>
      </c>
    </row>
    <row r="181" spans="1:17" x14ac:dyDescent="0.3">
      <c r="A181" s="2"/>
      <c r="B181" s="6">
        <v>46112</v>
      </c>
      <c r="C181" s="6">
        <v>46112</v>
      </c>
      <c r="D181" s="3" t="s">
        <v>395</v>
      </c>
      <c r="E181" s="154" t="s">
        <v>446</v>
      </c>
      <c r="F181" s="3" t="s">
        <v>170</v>
      </c>
      <c r="G181" s="153">
        <v>22115</v>
      </c>
      <c r="H181" s="3" t="s">
        <v>257</v>
      </c>
      <c r="I181" s="3" t="s">
        <v>273</v>
      </c>
      <c r="J181" s="154" t="s">
        <v>446</v>
      </c>
      <c r="K181" s="154" t="s">
        <v>446</v>
      </c>
      <c r="L181" s="3" t="s">
        <v>394</v>
      </c>
      <c r="M181" s="7">
        <v>2644.43</v>
      </c>
      <c r="N181" s="7">
        <v>2644.43</v>
      </c>
      <c r="O181" t="s">
        <v>167</v>
      </c>
      <c r="P181" t="s">
        <v>161</v>
      </c>
      <c r="Q181" t="str">
        <f>IF(L181="","",IF(L181="-Split-",IF(H181="Bank",IF(D181="Journal Entry","Payroll &amp; Benefits",IF(D181="Expense","Credit Card Payments","Journal Entries / Other")),"Journal Entries / Other"),IFERROR(INDEX('Mapping Reference'!$E:$E,MATCH(LEFT(L181,FIND(" ",L181)-1)&amp;" *",'Mapping Reference'!$B:$B,0)),"Unmapped")))</f>
        <v>Journal Entries / Other</v>
      </c>
    </row>
    <row r="182" spans="1:17" x14ac:dyDescent="0.3">
      <c r="A182" s="2"/>
      <c r="B182" s="6">
        <v>46112</v>
      </c>
      <c r="C182" s="6">
        <v>46112</v>
      </c>
      <c r="D182" s="3" t="s">
        <v>395</v>
      </c>
      <c r="E182" s="154" t="s">
        <v>446</v>
      </c>
      <c r="F182" s="3" t="s">
        <v>171</v>
      </c>
      <c r="G182" s="153">
        <v>22130</v>
      </c>
      <c r="H182" s="3" t="s">
        <v>257</v>
      </c>
      <c r="I182" s="3" t="s">
        <v>282</v>
      </c>
      <c r="J182" s="154" t="s">
        <v>446</v>
      </c>
      <c r="K182" s="154" t="s">
        <v>446</v>
      </c>
      <c r="L182" s="3" t="s">
        <v>394</v>
      </c>
      <c r="M182" s="7">
        <v>1428.13</v>
      </c>
      <c r="N182" s="7">
        <v>1428.13</v>
      </c>
      <c r="O182" t="s">
        <v>167</v>
      </c>
      <c r="P182" t="s">
        <v>161</v>
      </c>
      <c r="Q182" t="str">
        <f>IF(L182="","",IF(L182="-Split-",IF(H182="Bank",IF(D182="Journal Entry","Payroll &amp; Benefits",IF(D182="Expense","Credit Card Payments","Journal Entries / Other")),"Journal Entries / Other"),IFERROR(INDEX('Mapping Reference'!$E:$E,MATCH(LEFT(L182,FIND(" ",L182)-1)&amp;" *",'Mapping Reference'!$B:$B,0)),"Unmapped")))</f>
        <v>Journal Entries / Other</v>
      </c>
    </row>
    <row r="183" spans="1:17" x14ac:dyDescent="0.3">
      <c r="A183" s="2"/>
      <c r="B183" s="6">
        <v>46112</v>
      </c>
      <c r="C183" s="6">
        <v>46112</v>
      </c>
      <c r="D183" s="3" t="s">
        <v>395</v>
      </c>
      <c r="E183" s="154" t="s">
        <v>446</v>
      </c>
      <c r="F183" s="3" t="s">
        <v>173</v>
      </c>
      <c r="G183" s="153">
        <v>23200</v>
      </c>
      <c r="H183" s="3" t="s">
        <v>257</v>
      </c>
      <c r="I183" s="3" t="s">
        <v>273</v>
      </c>
      <c r="J183" s="154" t="s">
        <v>446</v>
      </c>
      <c r="K183" s="154" t="s">
        <v>446</v>
      </c>
      <c r="L183" s="3" t="s">
        <v>394</v>
      </c>
      <c r="M183" s="7">
        <v>-47754.81</v>
      </c>
      <c r="N183" s="7">
        <v>-116474.02</v>
      </c>
      <c r="O183" t="s">
        <v>237</v>
      </c>
      <c r="P183" t="s">
        <v>161</v>
      </c>
      <c r="Q183" t="str">
        <f>IF(L183="","",IF(L183="-Split-",IF(H183="Bank",IF(D183="Journal Entry","Payroll &amp; Benefits",IF(D183="Expense","Credit Card Payments","Journal Entries / Other")),"Journal Entries / Other"),IFERROR(INDEX('Mapping Reference'!$E:$E,MATCH(LEFT(L183,FIND(" ",L183)-1)&amp;" *",'Mapping Reference'!$B:$B,0)),"Unmapped")))</f>
        <v>Journal Entries / Other</v>
      </c>
    </row>
  </sheetData>
  <autoFilter ref="B5:Q183" xr:uid="{32382535-3C32-4256-A075-D0E3AADA9139}"/>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7393C"/>
  </sheetPr>
  <dimension ref="A1"/>
  <sheetViews>
    <sheetView showGridLines="0" workbookViewId="0">
      <pane ySplit="5" topLeftCell="A6" activePane="bottomLeft" state="frozen"/>
      <selection pane="bottomLeft"/>
    </sheetView>
  </sheetViews>
  <sheetFormatPr defaultRowHeight="14.4" x14ac:dyDescent="0.3"/>
  <cols>
    <col min="1" max="1" width="0.6640625" customWidth="1"/>
  </cols>
  <sheetData/>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106"/>
  <sheetViews>
    <sheetView showGridLines="0" workbookViewId="0">
      <pane ySplit="5" topLeftCell="A6" activePane="bottomLeft" state="frozen"/>
      <selection pane="bottomLeft"/>
    </sheetView>
  </sheetViews>
  <sheetFormatPr defaultRowHeight="14.4" x14ac:dyDescent="0.3"/>
  <cols>
    <col min="1" max="1" width="0.6640625" customWidth="1"/>
    <col min="2" max="2" width="48" customWidth="1"/>
    <col min="3" max="3" width="12" customWidth="1"/>
    <col min="4" max="4" width="18" customWidth="1"/>
    <col min="5" max="5" width="20" customWidth="1"/>
    <col min="6" max="6" width="14" customWidth="1"/>
    <col min="7" max="7" width="12" customWidth="1"/>
    <col min="8" max="8" width="35" customWidth="1"/>
  </cols>
  <sheetData>
    <row r="1" spans="1:8" x14ac:dyDescent="0.3">
      <c r="A1" s="1" t="s">
        <v>386</v>
      </c>
      <c r="B1" s="2"/>
      <c r="C1" s="2"/>
      <c r="D1" s="2"/>
      <c r="E1" s="2"/>
      <c r="F1" s="2"/>
      <c r="G1" s="2"/>
      <c r="H1" s="2"/>
    </row>
    <row r="2" spans="1:8" x14ac:dyDescent="0.3">
      <c r="A2" s="3" t="s">
        <v>29</v>
      </c>
      <c r="B2" s="2"/>
      <c r="C2" s="2"/>
      <c r="D2" s="2"/>
      <c r="E2" s="2"/>
      <c r="F2" s="2"/>
      <c r="G2" s="2"/>
      <c r="H2" s="2"/>
    </row>
    <row r="3" spans="1:8" x14ac:dyDescent="0.3">
      <c r="A3" s="2"/>
      <c r="B3" s="2"/>
      <c r="C3" s="2"/>
      <c r="D3" s="2"/>
      <c r="E3" s="2"/>
      <c r="F3" s="2"/>
      <c r="G3" s="2"/>
      <c r="H3" s="2"/>
    </row>
    <row r="4" spans="1:8" x14ac:dyDescent="0.3">
      <c r="A4" s="2"/>
      <c r="B4" s="2"/>
      <c r="C4" s="2"/>
      <c r="D4" s="2"/>
      <c r="E4" s="2"/>
      <c r="F4" s="2"/>
      <c r="G4" s="2"/>
      <c r="H4" s="2"/>
    </row>
    <row r="5" spans="1:8" x14ac:dyDescent="0.3">
      <c r="A5" s="2"/>
      <c r="B5" s="10" t="s">
        <v>32</v>
      </c>
      <c r="C5" s="10" t="s">
        <v>283</v>
      </c>
      <c r="D5" s="10" t="s">
        <v>284</v>
      </c>
      <c r="E5" s="10" t="s">
        <v>285</v>
      </c>
      <c r="F5" s="10" t="s">
        <v>286</v>
      </c>
      <c r="G5" s="10" t="s">
        <v>287</v>
      </c>
      <c r="H5" s="10" t="s">
        <v>288</v>
      </c>
    </row>
    <row r="6" spans="1:8" x14ac:dyDescent="0.3">
      <c r="A6" s="2"/>
      <c r="B6" s="1" t="s">
        <v>7</v>
      </c>
      <c r="C6" s="2"/>
      <c r="D6" s="138" t="str">
        <f>IF(COUNTIF(G12:G106,"DIFF")+COUNTIF(G12:G106,"MISSING")=0,"✓ PASS","✗ FAIL")</f>
        <v>✓ PASS</v>
      </c>
      <c r="E6" s="2"/>
      <c r="F6" s="2"/>
      <c r="G6" s="2"/>
      <c r="H6" s="2"/>
    </row>
    <row r="7" spans="1:8" x14ac:dyDescent="0.3">
      <c r="A7" s="2"/>
      <c r="B7" s="1" t="s">
        <v>8</v>
      </c>
      <c r="C7" s="2"/>
      <c r="D7" s="138">
        <f>COUNTA(B12:B106)-COUNTIF(B12:B106,"INCOME STATEMENT ACCOUNTS")-COUNTIF(B12:B106,"BALANCE SHEET ACCOUNTS")</f>
        <v>92</v>
      </c>
      <c r="E7" s="2"/>
      <c r="F7" s="2"/>
      <c r="G7" s="2"/>
      <c r="H7" s="2"/>
    </row>
    <row r="8" spans="1:8" x14ac:dyDescent="0.3">
      <c r="A8" s="2"/>
      <c r="B8" s="1" t="s">
        <v>9</v>
      </c>
      <c r="C8" s="2"/>
      <c r="D8" s="138">
        <f>COUNTIF(G12:G106,"MATCH")</f>
        <v>92</v>
      </c>
      <c r="E8" s="2"/>
      <c r="F8" s="2"/>
      <c r="G8" s="2"/>
      <c r="H8" s="2"/>
    </row>
    <row r="9" spans="1:8" x14ac:dyDescent="0.3">
      <c r="A9" s="2"/>
      <c r="B9" s="1" t="s">
        <v>10</v>
      </c>
      <c r="C9" s="2"/>
      <c r="D9" s="138">
        <f>COUNTIF(G12:G106,"DIFF")</f>
        <v>0</v>
      </c>
      <c r="E9" s="2"/>
      <c r="F9" s="2"/>
      <c r="G9" s="2"/>
      <c r="H9" s="2" t="s">
        <v>289</v>
      </c>
    </row>
    <row r="10" spans="1:8" x14ac:dyDescent="0.3">
      <c r="A10" s="2"/>
      <c r="B10" s="1" t="s">
        <v>11</v>
      </c>
      <c r="C10" s="2"/>
      <c r="D10" s="138">
        <f>COUNTIF(G12:G106,"MISSING")</f>
        <v>0</v>
      </c>
      <c r="E10" s="2"/>
      <c r="F10" s="2"/>
      <c r="G10" s="2"/>
      <c r="H10" s="2" t="s">
        <v>290</v>
      </c>
    </row>
    <row r="11" spans="1:8" x14ac:dyDescent="0.3">
      <c r="A11" s="2"/>
      <c r="B11" s="1" t="s">
        <v>291</v>
      </c>
      <c r="C11" s="2"/>
      <c r="D11" s="2"/>
      <c r="E11" s="2"/>
      <c r="F11" s="2"/>
      <c r="G11" s="2"/>
      <c r="H11" s="2"/>
    </row>
    <row r="12" spans="1:8" x14ac:dyDescent="0.3">
      <c r="A12" s="2"/>
      <c r="B12" s="33" t="s">
        <v>292</v>
      </c>
      <c r="C12" s="34"/>
      <c r="D12" s="34"/>
      <c r="E12" s="34"/>
      <c r="F12" s="34"/>
      <c r="G12" s="34"/>
      <c r="H12" s="34"/>
    </row>
    <row r="13" spans="1:8" x14ac:dyDescent="0.3">
      <c r="A13" s="2"/>
      <c r="B13" s="38" t="s">
        <v>551</v>
      </c>
      <c r="C13" s="38" t="s">
        <v>293</v>
      </c>
      <c r="D13" s="35">
        <f>SUMIFS('IS GL Summary'!F:F,'IS GL Summary'!C:C,B13,'IS GL Summary'!B:B,"&gt;="&amp;DATE(2025,1,1),'IS GL Summary'!B:B,"&lt;="&amp;DATE(2026,3,31))</f>
        <v>1646911.3199999998</v>
      </c>
      <c r="E13" s="35">
        <f>IFERROR(_xlfn.XLOOKUP(B13,'P&amp;L'!B:B,'P&amp;L'!R:R,0),0)</f>
        <v>1646911.32</v>
      </c>
      <c r="F13" s="35">
        <f t="shared" ref="F13:F44" si="0">D13-E13</f>
        <v>0</v>
      </c>
      <c r="G13" s="2" t="str">
        <f t="shared" ref="G13:G44" si="1">IF(ABS(F13)&lt;0.02,"MATCH",IF(D13=0,"MISSING","DIFF"))</f>
        <v>MATCH</v>
      </c>
      <c r="H13" s="2"/>
    </row>
    <row r="14" spans="1:8" x14ac:dyDescent="0.3">
      <c r="A14" s="2"/>
      <c r="B14" s="38" t="s">
        <v>560</v>
      </c>
      <c r="C14" s="38" t="s">
        <v>293</v>
      </c>
      <c r="D14" s="35">
        <f>SUMIFS('IS GL Summary'!F:F,'IS GL Summary'!C:C,B14,'IS GL Summary'!B:B,"&gt;="&amp;DATE(2025,1,1),'IS GL Summary'!B:B,"&lt;="&amp;DATE(2026,3,31))</f>
        <v>596346.18000000005</v>
      </c>
      <c r="E14" s="35">
        <f>IFERROR(_xlfn.XLOOKUP(B14,'P&amp;L'!B:B,'P&amp;L'!R:R,0),0)</f>
        <v>596346.18000000005</v>
      </c>
      <c r="F14" s="35">
        <f t="shared" si="0"/>
        <v>0</v>
      </c>
      <c r="G14" s="2" t="str">
        <f t="shared" si="1"/>
        <v>MATCH</v>
      </c>
      <c r="H14" s="2"/>
    </row>
    <row r="15" spans="1:8" x14ac:dyDescent="0.3">
      <c r="A15" s="2"/>
      <c r="B15" s="38" t="s">
        <v>561</v>
      </c>
      <c r="C15" s="38" t="s">
        <v>293</v>
      </c>
      <c r="D15" s="35">
        <f>SUMIFS('IS GL Summary'!F:F,'IS GL Summary'!C:C,B15,'IS GL Summary'!B:B,"&gt;="&amp;DATE(2025,1,1),'IS GL Summary'!B:B,"&lt;="&amp;DATE(2026,3,31))</f>
        <v>227383.8</v>
      </c>
      <c r="E15" s="35">
        <f>IFERROR(_xlfn.XLOOKUP(B15,'P&amp;L'!B:B,'P&amp;L'!R:R,0),0)</f>
        <v>227383.8</v>
      </c>
      <c r="F15" s="35">
        <f t="shared" si="0"/>
        <v>0</v>
      </c>
      <c r="G15" s="2" t="str">
        <f t="shared" si="1"/>
        <v>MATCH</v>
      </c>
      <c r="H15" s="2"/>
    </row>
    <row r="16" spans="1:8" x14ac:dyDescent="0.3">
      <c r="A16" s="2"/>
      <c r="B16" s="38" t="s">
        <v>35</v>
      </c>
      <c r="C16" s="38" t="s">
        <v>293</v>
      </c>
      <c r="D16" s="35">
        <f>SUMIFS('IS GL Summary'!F:F,'IS GL Summary'!C:C,B16,'IS GL Summary'!B:B,"&gt;="&amp;DATE(2025,1,1),'IS GL Summary'!B:B,"&lt;="&amp;DATE(2026,3,31))</f>
        <v>6030</v>
      </c>
      <c r="E16" s="35">
        <f>IFERROR(_xlfn.XLOOKUP(B16,'P&amp;L'!B:B,'P&amp;L'!R:R,0),0)</f>
        <v>6030</v>
      </c>
      <c r="F16" s="35">
        <f t="shared" si="0"/>
        <v>0</v>
      </c>
      <c r="G16" s="2" t="str">
        <f t="shared" si="1"/>
        <v>MATCH</v>
      </c>
      <c r="H16" s="2"/>
    </row>
    <row r="17" spans="1:8" x14ac:dyDescent="0.3">
      <c r="A17" s="2"/>
      <c r="B17" s="38" t="s">
        <v>552</v>
      </c>
      <c r="C17" s="38" t="s">
        <v>293</v>
      </c>
      <c r="D17" s="35">
        <f>SUMIFS('IS GL Summary'!F:F,'IS GL Summary'!C:C,B17,'IS GL Summary'!B:B,"&gt;="&amp;DATE(2025,1,1),'IS GL Summary'!B:B,"&lt;="&amp;DATE(2026,3,31))</f>
        <v>346886.81999999995</v>
      </c>
      <c r="E17" s="35">
        <f>IFERROR(_xlfn.XLOOKUP(B17,'P&amp;L'!B:B,'P&amp;L'!R:R,0),0)</f>
        <v>346886.82</v>
      </c>
      <c r="F17" s="35">
        <f t="shared" si="0"/>
        <v>0</v>
      </c>
      <c r="G17" s="2" t="str">
        <f t="shared" si="1"/>
        <v>MATCH</v>
      </c>
      <c r="H17" s="2"/>
    </row>
    <row r="18" spans="1:8" x14ac:dyDescent="0.3">
      <c r="A18" s="2"/>
      <c r="B18" s="38" t="s">
        <v>39</v>
      </c>
      <c r="C18" s="38" t="s">
        <v>293</v>
      </c>
      <c r="D18" s="35">
        <f>SUMIFS('IS GL Summary'!F:F,'IS GL Summary'!C:C,B18,'IS GL Summary'!B:B,"&gt;="&amp;DATE(2025,1,1),'IS GL Summary'!B:B,"&lt;="&amp;DATE(2026,3,31))</f>
        <v>713711.95</v>
      </c>
      <c r="E18" s="35">
        <f>IFERROR(_xlfn.XLOOKUP(B18,'P&amp;L'!B:B,'P&amp;L'!R:R,0),0)</f>
        <v>713711.95</v>
      </c>
      <c r="F18" s="35">
        <f t="shared" si="0"/>
        <v>0</v>
      </c>
      <c r="G18" s="2" t="str">
        <f t="shared" si="1"/>
        <v>MATCH</v>
      </c>
      <c r="H18" s="2"/>
    </row>
    <row r="19" spans="1:8" x14ac:dyDescent="0.3">
      <c r="A19" s="2"/>
      <c r="B19" s="38" t="s">
        <v>40</v>
      </c>
      <c r="C19" s="38" t="s">
        <v>293</v>
      </c>
      <c r="D19" s="35">
        <f>SUMIFS('IS GL Summary'!F:F,'IS GL Summary'!C:C,B19,'IS GL Summary'!B:B,"&gt;="&amp;DATE(2025,1,1),'IS GL Summary'!B:B,"&lt;="&amp;DATE(2026,3,31))</f>
        <v>11737.48</v>
      </c>
      <c r="E19" s="35">
        <f>IFERROR(_xlfn.XLOOKUP(B19,'P&amp;L'!B:B,'P&amp;L'!R:R,0),0)</f>
        <v>11737.48</v>
      </c>
      <c r="F19" s="35">
        <f t="shared" si="0"/>
        <v>0</v>
      </c>
      <c r="G19" s="2" t="str">
        <f t="shared" si="1"/>
        <v>MATCH</v>
      </c>
      <c r="H19" s="2"/>
    </row>
    <row r="20" spans="1:8" x14ac:dyDescent="0.3">
      <c r="A20" s="2"/>
      <c r="B20" s="38" t="s">
        <v>543</v>
      </c>
      <c r="C20" s="38" t="s">
        <v>293</v>
      </c>
      <c r="D20" s="35">
        <f>SUMIFS('IS GL Summary'!F:F,'IS GL Summary'!C:C,B20,'IS GL Summary'!B:B,"&gt;="&amp;DATE(2025,1,1),'IS GL Summary'!B:B,"&lt;="&amp;DATE(2026,3,31))</f>
        <v>139455.03</v>
      </c>
      <c r="E20" s="35">
        <f>IFERROR(_xlfn.XLOOKUP(B20,'P&amp;L'!B:B,'P&amp;L'!R:R,0),0)</f>
        <v>139455.03</v>
      </c>
      <c r="F20" s="35">
        <f t="shared" si="0"/>
        <v>0</v>
      </c>
      <c r="G20" s="2" t="str">
        <f t="shared" si="1"/>
        <v>MATCH</v>
      </c>
      <c r="H20" s="2"/>
    </row>
    <row r="21" spans="1:8" x14ac:dyDescent="0.3">
      <c r="A21" s="2"/>
      <c r="B21" s="38" t="s">
        <v>41</v>
      </c>
      <c r="C21" s="38" t="s">
        <v>293</v>
      </c>
      <c r="D21" s="35">
        <f>SUMIFS('IS GL Summary'!F:F,'IS GL Summary'!C:C,B21,'IS GL Summary'!B:B,"&gt;="&amp;DATE(2025,1,1),'IS GL Summary'!B:B,"&lt;="&amp;DATE(2026,3,31))</f>
        <v>967.63000000000011</v>
      </c>
      <c r="E21" s="35">
        <f>IFERROR(_xlfn.XLOOKUP(B21,'P&amp;L'!B:B,'P&amp;L'!R:R,0),0)</f>
        <v>967.63</v>
      </c>
      <c r="F21" s="35">
        <f t="shared" si="0"/>
        <v>0</v>
      </c>
      <c r="G21" s="2" t="str">
        <f t="shared" si="1"/>
        <v>MATCH</v>
      </c>
      <c r="H21" s="2"/>
    </row>
    <row r="22" spans="1:8" x14ac:dyDescent="0.3">
      <c r="A22" s="2"/>
      <c r="B22" s="38" t="s">
        <v>42</v>
      </c>
      <c r="C22" s="38" t="s">
        <v>293</v>
      </c>
      <c r="D22" s="35">
        <f>SUMIFS('IS GL Summary'!F:F,'IS GL Summary'!C:C,B22,'IS GL Summary'!B:B,"&gt;="&amp;DATE(2025,1,1),'IS GL Summary'!B:B,"&lt;="&amp;DATE(2026,3,31))</f>
        <v>4004.44</v>
      </c>
      <c r="E22" s="35">
        <f>IFERROR(_xlfn.XLOOKUP(B22,'P&amp;L'!B:B,'P&amp;L'!R:R,0),0)</f>
        <v>4004.44</v>
      </c>
      <c r="F22" s="35">
        <f t="shared" si="0"/>
        <v>0</v>
      </c>
      <c r="G22" s="2" t="str">
        <f t="shared" si="1"/>
        <v>MATCH</v>
      </c>
      <c r="H22" s="2"/>
    </row>
    <row r="23" spans="1:8" x14ac:dyDescent="0.3">
      <c r="A23" s="2"/>
      <c r="B23" s="38" t="s">
        <v>43</v>
      </c>
      <c r="C23" s="38" t="s">
        <v>293</v>
      </c>
      <c r="D23" s="35">
        <f>SUMIFS('IS GL Summary'!F:F,'IS GL Summary'!C:C,B23,'IS GL Summary'!B:B,"&gt;="&amp;DATE(2025,1,1),'IS GL Summary'!B:B,"&lt;="&amp;DATE(2026,3,31))</f>
        <v>-545.71</v>
      </c>
      <c r="E23" s="35">
        <f>IFERROR(_xlfn.XLOOKUP(B23,'P&amp;L'!B:B,'P&amp;L'!R:R,0),0)</f>
        <v>-545.71</v>
      </c>
      <c r="F23" s="35">
        <f t="shared" si="0"/>
        <v>0</v>
      </c>
      <c r="G23" s="2" t="str">
        <f t="shared" si="1"/>
        <v>MATCH</v>
      </c>
      <c r="H23" s="2"/>
    </row>
    <row r="24" spans="1:8" x14ac:dyDescent="0.3">
      <c r="A24" s="2"/>
      <c r="B24" s="38" t="s">
        <v>44</v>
      </c>
      <c r="C24" s="38" t="s">
        <v>293</v>
      </c>
      <c r="D24" s="35">
        <f>SUMIFS('IS GL Summary'!F:F,'IS GL Summary'!C:C,B24,'IS GL Summary'!B:B,"&gt;="&amp;DATE(2025,1,1),'IS GL Summary'!B:B,"&lt;="&amp;DATE(2026,3,31))</f>
        <v>358.03999999999996</v>
      </c>
      <c r="E24" s="35">
        <f>IFERROR(_xlfn.XLOOKUP(B24,'P&amp;L'!B:B,'P&amp;L'!R:R,0),0)</f>
        <v>358.04</v>
      </c>
      <c r="F24" s="35">
        <f t="shared" si="0"/>
        <v>0</v>
      </c>
      <c r="G24" s="2" t="str">
        <f t="shared" si="1"/>
        <v>MATCH</v>
      </c>
      <c r="H24" s="2"/>
    </row>
    <row r="25" spans="1:8" x14ac:dyDescent="0.3">
      <c r="A25" s="2"/>
      <c r="B25" s="38" t="s">
        <v>45</v>
      </c>
      <c r="C25" s="38" t="s">
        <v>293</v>
      </c>
      <c r="D25" s="35">
        <f>SUMIFS('IS GL Summary'!F:F,'IS GL Summary'!C:C,B25,'IS GL Summary'!B:B,"&gt;="&amp;DATE(2025,1,1),'IS GL Summary'!B:B,"&lt;="&amp;DATE(2026,3,31))</f>
        <v>48668.669999999991</v>
      </c>
      <c r="E25" s="35">
        <f>IFERROR(_xlfn.XLOOKUP(B25,'P&amp;L'!B:B,'P&amp;L'!R:R,0),0)</f>
        <v>48668.67</v>
      </c>
      <c r="F25" s="35">
        <f t="shared" si="0"/>
        <v>0</v>
      </c>
      <c r="G25" s="2" t="str">
        <f t="shared" si="1"/>
        <v>MATCH</v>
      </c>
      <c r="H25" s="2"/>
    </row>
    <row r="26" spans="1:8" x14ac:dyDescent="0.3">
      <c r="A26" s="2"/>
      <c r="B26" s="38" t="s">
        <v>51</v>
      </c>
      <c r="C26" s="38" t="s">
        <v>293</v>
      </c>
      <c r="D26" s="35">
        <f>SUMIFS('IS GL Summary'!F:F,'IS GL Summary'!C:C,B26,'IS GL Summary'!B:B,"&gt;="&amp;DATE(2025,1,1),'IS GL Summary'!B:B,"&lt;="&amp;DATE(2026,3,31))</f>
        <v>353011.33</v>
      </c>
      <c r="E26" s="35">
        <f>IFERROR(_xlfn.XLOOKUP(B26,'P&amp;L'!B:B,'P&amp;L'!R:R,0),0)</f>
        <v>353011.33</v>
      </c>
      <c r="F26" s="35">
        <f t="shared" si="0"/>
        <v>0</v>
      </c>
      <c r="G26" s="2" t="str">
        <f t="shared" si="1"/>
        <v>MATCH</v>
      </c>
      <c r="H26" s="2"/>
    </row>
    <row r="27" spans="1:8" x14ac:dyDescent="0.3">
      <c r="A27" s="2"/>
      <c r="B27" s="38" t="s">
        <v>52</v>
      </c>
      <c r="C27" s="38" t="s">
        <v>293</v>
      </c>
      <c r="D27" s="35">
        <f>SUMIFS('IS GL Summary'!F:F,'IS GL Summary'!C:C,B27,'IS GL Summary'!B:B,"&gt;="&amp;DATE(2025,1,1),'IS GL Summary'!B:B,"&lt;="&amp;DATE(2026,3,31))</f>
        <v>11741.85</v>
      </c>
      <c r="E27" s="35">
        <f>IFERROR(_xlfn.XLOOKUP(B27,'P&amp;L'!B:B,'P&amp;L'!R:R,0),0)</f>
        <v>11741.85</v>
      </c>
      <c r="F27" s="35">
        <f t="shared" si="0"/>
        <v>0</v>
      </c>
      <c r="G27" s="2" t="str">
        <f t="shared" si="1"/>
        <v>MATCH</v>
      </c>
      <c r="H27" s="2"/>
    </row>
    <row r="28" spans="1:8" x14ac:dyDescent="0.3">
      <c r="A28" s="2"/>
      <c r="B28" s="38" t="s">
        <v>53</v>
      </c>
      <c r="C28" s="38" t="s">
        <v>293</v>
      </c>
      <c r="D28" s="35">
        <f>SUMIFS('IS GL Summary'!F:F,'IS GL Summary'!C:C,B28,'IS GL Summary'!B:B,"&gt;="&amp;DATE(2025,1,1),'IS GL Summary'!B:B,"&lt;="&amp;DATE(2026,3,31))</f>
        <v>265274.41999999993</v>
      </c>
      <c r="E28" s="35">
        <f>IFERROR(_xlfn.XLOOKUP(B28,'P&amp;L'!B:B,'P&amp;L'!R:R,0),0)</f>
        <v>265274.42</v>
      </c>
      <c r="F28" s="35">
        <f t="shared" si="0"/>
        <v>0</v>
      </c>
      <c r="G28" s="2" t="str">
        <f t="shared" si="1"/>
        <v>MATCH</v>
      </c>
      <c r="H28" s="2"/>
    </row>
    <row r="29" spans="1:8" x14ac:dyDescent="0.3">
      <c r="A29" s="2"/>
      <c r="B29" s="38" t="s">
        <v>544</v>
      </c>
      <c r="C29" s="38" t="s">
        <v>293</v>
      </c>
      <c r="D29" s="35">
        <f>SUMIFS('IS GL Summary'!F:F,'IS GL Summary'!C:C,B29,'IS GL Summary'!B:B,"&gt;="&amp;DATE(2025,1,1),'IS GL Summary'!B:B,"&lt;="&amp;DATE(2026,3,31))</f>
        <v>67020.040000000008</v>
      </c>
      <c r="E29" s="35">
        <f>IFERROR(_xlfn.XLOOKUP(B29,'P&amp;L'!B:B,'P&amp;L'!R:R,0),0)</f>
        <v>67020.039999999994</v>
      </c>
      <c r="F29" s="35">
        <f t="shared" si="0"/>
        <v>0</v>
      </c>
      <c r="G29" s="2" t="str">
        <f t="shared" si="1"/>
        <v>MATCH</v>
      </c>
      <c r="H29" s="2"/>
    </row>
    <row r="30" spans="1:8" x14ac:dyDescent="0.3">
      <c r="A30" s="2"/>
      <c r="B30" s="38" t="s">
        <v>54</v>
      </c>
      <c r="C30" s="38" t="s">
        <v>293</v>
      </c>
      <c r="D30" s="35">
        <f>SUMIFS('IS GL Summary'!F:F,'IS GL Summary'!C:C,B30,'IS GL Summary'!B:B,"&gt;="&amp;DATE(2025,1,1),'IS GL Summary'!B:B,"&lt;="&amp;DATE(2026,3,31))</f>
        <v>434.38</v>
      </c>
      <c r="E30" s="35">
        <f>IFERROR(_xlfn.XLOOKUP(B30,'P&amp;L'!B:B,'P&amp;L'!R:R,0),0)</f>
        <v>434.38</v>
      </c>
      <c r="F30" s="35">
        <f t="shared" si="0"/>
        <v>0</v>
      </c>
      <c r="G30" s="2" t="str">
        <f t="shared" si="1"/>
        <v>MATCH</v>
      </c>
      <c r="H30" s="2"/>
    </row>
    <row r="31" spans="1:8" x14ac:dyDescent="0.3">
      <c r="A31" s="2"/>
      <c r="B31" s="38" t="s">
        <v>55</v>
      </c>
      <c r="C31" s="38" t="s">
        <v>293</v>
      </c>
      <c r="D31" s="35">
        <f>SUMIFS('IS GL Summary'!F:F,'IS GL Summary'!C:C,B31,'IS GL Summary'!B:B,"&gt;="&amp;DATE(2025,1,1),'IS GL Summary'!B:B,"&lt;="&amp;DATE(2026,3,31))</f>
        <v>3386.4799999999996</v>
      </c>
      <c r="E31" s="35">
        <f>IFERROR(_xlfn.XLOOKUP(B31,'P&amp;L'!B:B,'P&amp;L'!R:R,0),0)</f>
        <v>3386.48</v>
      </c>
      <c r="F31" s="35">
        <f t="shared" si="0"/>
        <v>0</v>
      </c>
      <c r="G31" s="2" t="str">
        <f t="shared" si="1"/>
        <v>MATCH</v>
      </c>
      <c r="H31" s="2"/>
    </row>
    <row r="32" spans="1:8" x14ac:dyDescent="0.3">
      <c r="A32" s="2"/>
      <c r="B32" s="38" t="s">
        <v>56</v>
      </c>
      <c r="C32" s="38" t="s">
        <v>293</v>
      </c>
      <c r="D32" s="35">
        <f>SUMIFS('IS GL Summary'!F:F,'IS GL Summary'!C:C,B32,'IS GL Summary'!B:B,"&gt;="&amp;DATE(2025,1,1),'IS GL Summary'!B:B,"&lt;="&amp;DATE(2026,3,31))</f>
        <v>-78.569999999999993</v>
      </c>
      <c r="E32" s="35">
        <f>IFERROR(_xlfn.XLOOKUP(B32,'P&amp;L'!B:B,'P&amp;L'!R:R,0),0)</f>
        <v>-78.569999999999993</v>
      </c>
      <c r="F32" s="35">
        <f t="shared" si="0"/>
        <v>0</v>
      </c>
      <c r="G32" s="2" t="str">
        <f t="shared" si="1"/>
        <v>MATCH</v>
      </c>
      <c r="H32" s="2"/>
    </row>
    <row r="33" spans="1:8" x14ac:dyDescent="0.3">
      <c r="A33" s="2"/>
      <c r="B33" s="38" t="s">
        <v>57</v>
      </c>
      <c r="C33" s="38" t="s">
        <v>293</v>
      </c>
      <c r="D33" s="35">
        <f>SUMIFS('IS GL Summary'!F:F,'IS GL Summary'!C:C,B33,'IS GL Summary'!B:B,"&gt;="&amp;DATE(2025,1,1),'IS GL Summary'!B:B,"&lt;="&amp;DATE(2026,3,31))</f>
        <v>204.73000000000002</v>
      </c>
      <c r="E33" s="35">
        <f>IFERROR(_xlfn.XLOOKUP(B33,'P&amp;L'!B:B,'P&amp;L'!R:R,0),0)</f>
        <v>204.73</v>
      </c>
      <c r="F33" s="35">
        <f t="shared" si="0"/>
        <v>0</v>
      </c>
      <c r="G33" s="2" t="str">
        <f t="shared" si="1"/>
        <v>MATCH</v>
      </c>
      <c r="H33" s="2"/>
    </row>
    <row r="34" spans="1:8" x14ac:dyDescent="0.3">
      <c r="A34" s="2"/>
      <c r="B34" s="38" t="s">
        <v>58</v>
      </c>
      <c r="C34" s="38" t="s">
        <v>293</v>
      </c>
      <c r="D34" s="35">
        <f>SUMIFS('IS GL Summary'!F:F,'IS GL Summary'!C:C,B34,'IS GL Summary'!B:B,"&gt;="&amp;DATE(2025,1,1),'IS GL Summary'!B:B,"&lt;="&amp;DATE(2026,3,31))</f>
        <v>23673.020000000004</v>
      </c>
      <c r="E34" s="35">
        <f>IFERROR(_xlfn.XLOOKUP(B34,'P&amp;L'!B:B,'P&amp;L'!R:R,0),0)</f>
        <v>23673.02</v>
      </c>
      <c r="F34" s="35">
        <f t="shared" si="0"/>
        <v>0</v>
      </c>
      <c r="G34" s="2" t="str">
        <f t="shared" si="1"/>
        <v>MATCH</v>
      </c>
      <c r="H34" s="2"/>
    </row>
    <row r="35" spans="1:8" x14ac:dyDescent="0.3">
      <c r="A35" s="2"/>
      <c r="B35" s="38" t="s">
        <v>61</v>
      </c>
      <c r="C35" s="38" t="s">
        <v>293</v>
      </c>
      <c r="D35" s="35">
        <f>SUMIFS('IS GL Summary'!F:F,'IS GL Summary'!C:C,B35,'IS GL Summary'!B:B,"&gt;="&amp;DATE(2025,1,1),'IS GL Summary'!B:B,"&lt;="&amp;DATE(2026,3,31))</f>
        <v>916.66</v>
      </c>
      <c r="E35" s="35">
        <f>IFERROR(_xlfn.XLOOKUP(B35,'P&amp;L'!B:B,'P&amp;L'!R:R,0),0)</f>
        <v>916.66</v>
      </c>
      <c r="F35" s="35">
        <f t="shared" si="0"/>
        <v>0</v>
      </c>
      <c r="G35" s="2" t="str">
        <f t="shared" si="1"/>
        <v>MATCH</v>
      </c>
      <c r="H35" s="2"/>
    </row>
    <row r="36" spans="1:8" x14ac:dyDescent="0.3">
      <c r="A36" s="2"/>
      <c r="B36" s="38" t="s">
        <v>62</v>
      </c>
      <c r="C36" s="38" t="s">
        <v>293</v>
      </c>
      <c r="D36" s="35">
        <f>SUMIFS('IS GL Summary'!F:F,'IS GL Summary'!C:C,B36,'IS GL Summary'!B:B,"&gt;="&amp;DATE(2025,1,1),'IS GL Summary'!B:B,"&lt;="&amp;DATE(2026,3,31))</f>
        <v>1652.4299999999998</v>
      </c>
      <c r="E36" s="35">
        <f>IFERROR(_xlfn.XLOOKUP(B36,'P&amp;L'!B:B,'P&amp;L'!R:R,0),0)</f>
        <v>1652.43</v>
      </c>
      <c r="F36" s="35">
        <f t="shared" si="0"/>
        <v>0</v>
      </c>
      <c r="G36" s="2" t="str">
        <f t="shared" si="1"/>
        <v>MATCH</v>
      </c>
      <c r="H36" s="2"/>
    </row>
    <row r="37" spans="1:8" x14ac:dyDescent="0.3">
      <c r="A37" s="2"/>
      <c r="B37" s="38" t="s">
        <v>63</v>
      </c>
      <c r="C37" s="38" t="s">
        <v>293</v>
      </c>
      <c r="D37" s="35">
        <f>SUMIFS('IS GL Summary'!F:F,'IS GL Summary'!C:C,B37,'IS GL Summary'!B:B,"&gt;="&amp;DATE(2025,1,1),'IS GL Summary'!B:B,"&lt;="&amp;DATE(2026,3,31))</f>
        <v>1139.1199999999999</v>
      </c>
      <c r="E37" s="35">
        <f>IFERROR(_xlfn.XLOOKUP(B37,'P&amp;L'!B:B,'P&amp;L'!R:R,0),0)</f>
        <v>1139.1199999999999</v>
      </c>
      <c r="F37" s="35">
        <f t="shared" si="0"/>
        <v>0</v>
      </c>
      <c r="G37" s="2" t="str">
        <f t="shared" si="1"/>
        <v>MATCH</v>
      </c>
      <c r="H37" s="2"/>
    </row>
    <row r="38" spans="1:8" x14ac:dyDescent="0.3">
      <c r="A38" s="2"/>
      <c r="B38" s="38" t="s">
        <v>66</v>
      </c>
      <c r="C38" s="38" t="s">
        <v>293</v>
      </c>
      <c r="D38" s="35">
        <f>SUMIFS('IS GL Summary'!F:F,'IS GL Summary'!C:C,B38,'IS GL Summary'!B:B,"&gt;="&amp;DATE(2025,1,1),'IS GL Summary'!B:B,"&lt;="&amp;DATE(2026,3,31))</f>
        <v>67522.799999999988</v>
      </c>
      <c r="E38" s="35">
        <f>IFERROR(_xlfn.XLOOKUP(B38,'P&amp;L'!B:B,'P&amp;L'!R:R,0),0)</f>
        <v>67522.8</v>
      </c>
      <c r="F38" s="35">
        <f t="shared" si="0"/>
        <v>0</v>
      </c>
      <c r="G38" s="2" t="str">
        <f t="shared" si="1"/>
        <v>MATCH</v>
      </c>
      <c r="H38" s="2"/>
    </row>
    <row r="39" spans="1:8" x14ac:dyDescent="0.3">
      <c r="A39" s="2"/>
      <c r="B39" s="38" t="s">
        <v>67</v>
      </c>
      <c r="C39" s="38" t="s">
        <v>293</v>
      </c>
      <c r="D39" s="35">
        <f>SUMIFS('IS GL Summary'!F:F,'IS GL Summary'!C:C,B39,'IS GL Summary'!B:B,"&gt;="&amp;DATE(2025,1,1),'IS GL Summary'!B:B,"&lt;="&amp;DATE(2026,3,31))</f>
        <v>865.62</v>
      </c>
      <c r="E39" s="35">
        <f>IFERROR(_xlfn.XLOOKUP(B39,'P&amp;L'!B:B,'P&amp;L'!R:R,0),0)</f>
        <v>865.62</v>
      </c>
      <c r="F39" s="35">
        <f t="shared" si="0"/>
        <v>0</v>
      </c>
      <c r="G39" s="2" t="str">
        <f t="shared" si="1"/>
        <v>MATCH</v>
      </c>
      <c r="H39" s="2"/>
    </row>
    <row r="40" spans="1:8" x14ac:dyDescent="0.3">
      <c r="A40" s="2"/>
      <c r="B40" s="38" t="s">
        <v>68</v>
      </c>
      <c r="C40" s="38" t="s">
        <v>293</v>
      </c>
      <c r="D40" s="35">
        <f>SUMIFS('IS GL Summary'!F:F,'IS GL Summary'!C:C,B40,'IS GL Summary'!B:B,"&gt;="&amp;DATE(2025,1,1),'IS GL Summary'!B:B,"&lt;="&amp;DATE(2026,3,31))</f>
        <v>57268.54</v>
      </c>
      <c r="E40" s="35">
        <f>IFERROR(_xlfn.XLOOKUP(B40,'P&amp;L'!B:B,'P&amp;L'!R:R,0),0)</f>
        <v>57268.54</v>
      </c>
      <c r="F40" s="35">
        <f t="shared" si="0"/>
        <v>0</v>
      </c>
      <c r="G40" s="2" t="str">
        <f t="shared" si="1"/>
        <v>MATCH</v>
      </c>
      <c r="H40" s="2"/>
    </row>
    <row r="41" spans="1:8" x14ac:dyDescent="0.3">
      <c r="A41" s="2"/>
      <c r="B41" s="38" t="s">
        <v>69</v>
      </c>
      <c r="C41" s="38" t="s">
        <v>293</v>
      </c>
      <c r="D41" s="35">
        <f>SUMIFS('IS GL Summary'!F:F,'IS GL Summary'!C:C,B41,'IS GL Summary'!B:B,"&gt;="&amp;DATE(2025,1,1),'IS GL Summary'!B:B,"&lt;="&amp;DATE(2026,3,31))</f>
        <v>1870.0400000000002</v>
      </c>
      <c r="E41" s="35">
        <f>IFERROR(_xlfn.XLOOKUP(B41,'P&amp;L'!B:B,'P&amp;L'!R:R,0),0)</f>
        <v>1870.04</v>
      </c>
      <c r="F41" s="35">
        <f t="shared" si="0"/>
        <v>0</v>
      </c>
      <c r="G41" s="2" t="str">
        <f t="shared" si="1"/>
        <v>MATCH</v>
      </c>
      <c r="H41" s="2"/>
    </row>
    <row r="42" spans="1:8" x14ac:dyDescent="0.3">
      <c r="A42" s="2"/>
      <c r="B42" s="38" t="s">
        <v>70</v>
      </c>
      <c r="C42" s="38" t="s">
        <v>293</v>
      </c>
      <c r="D42" s="35">
        <f>SUMIFS('IS GL Summary'!F:F,'IS GL Summary'!C:C,B42,'IS GL Summary'!B:B,"&gt;="&amp;DATE(2025,1,1),'IS GL Summary'!B:B,"&lt;="&amp;DATE(2026,3,31))</f>
        <v>30055.06</v>
      </c>
      <c r="E42" s="35">
        <f>IFERROR(_xlfn.XLOOKUP(B42,'P&amp;L'!B:B,'P&amp;L'!R:R,0),0)</f>
        <v>30055.06</v>
      </c>
      <c r="F42" s="35">
        <f t="shared" si="0"/>
        <v>0</v>
      </c>
      <c r="G42" s="2" t="str">
        <f t="shared" si="1"/>
        <v>MATCH</v>
      </c>
      <c r="H42" s="2"/>
    </row>
    <row r="43" spans="1:8" x14ac:dyDescent="0.3">
      <c r="A43" s="2"/>
      <c r="B43" s="38" t="s">
        <v>71</v>
      </c>
      <c r="C43" s="38" t="s">
        <v>293</v>
      </c>
      <c r="D43" s="35">
        <f>SUMIFS('IS GL Summary'!F:F,'IS GL Summary'!C:C,B43,'IS GL Summary'!B:B,"&gt;="&amp;DATE(2025,1,1),'IS GL Summary'!B:B,"&lt;="&amp;DATE(2026,3,31))</f>
        <v>39544.97</v>
      </c>
      <c r="E43" s="35">
        <f>IFERROR(_xlfn.XLOOKUP(B43,'P&amp;L'!B:B,'P&amp;L'!R:R,0),0)</f>
        <v>39544.97</v>
      </c>
      <c r="F43" s="35">
        <f t="shared" si="0"/>
        <v>0</v>
      </c>
      <c r="G43" s="2" t="str">
        <f t="shared" si="1"/>
        <v>MATCH</v>
      </c>
      <c r="H43" s="2"/>
    </row>
    <row r="44" spans="1:8" x14ac:dyDescent="0.3">
      <c r="A44" s="2"/>
      <c r="B44" s="38" t="s">
        <v>72</v>
      </c>
      <c r="C44" s="38" t="s">
        <v>293</v>
      </c>
      <c r="D44" s="35">
        <f>SUMIFS('IS GL Summary'!F:F,'IS GL Summary'!C:C,B44,'IS GL Summary'!B:B,"&gt;="&amp;DATE(2025,1,1),'IS GL Summary'!B:B,"&lt;="&amp;DATE(2026,3,31))</f>
        <v>5022.5</v>
      </c>
      <c r="E44" s="35">
        <f>IFERROR(_xlfn.XLOOKUP(B44,'P&amp;L'!B:B,'P&amp;L'!R:R,0),0)</f>
        <v>5022.5</v>
      </c>
      <c r="F44" s="35">
        <f t="shared" si="0"/>
        <v>0</v>
      </c>
      <c r="G44" s="2" t="str">
        <f t="shared" si="1"/>
        <v>MATCH</v>
      </c>
      <c r="H44" s="2"/>
    </row>
    <row r="45" spans="1:8" x14ac:dyDescent="0.3">
      <c r="A45" s="2"/>
      <c r="B45" s="38" t="s">
        <v>75</v>
      </c>
      <c r="C45" s="38" t="s">
        <v>293</v>
      </c>
      <c r="D45" s="35">
        <f>SUMIFS('IS GL Summary'!F:F,'IS GL Summary'!C:C,B45,'IS GL Summary'!B:B,"&gt;="&amp;DATE(2025,1,1),'IS GL Summary'!B:B,"&lt;="&amp;DATE(2026,3,31))</f>
        <v>5657.4999999999991</v>
      </c>
      <c r="E45" s="35">
        <f>IFERROR(_xlfn.XLOOKUP(B45,'P&amp;L'!B:B,'P&amp;L'!R:R,0),0)</f>
        <v>5657.5</v>
      </c>
      <c r="F45" s="35">
        <f t="shared" ref="F45:F76" si="2">D45-E45</f>
        <v>0</v>
      </c>
      <c r="G45" s="2" t="str">
        <f t="shared" ref="G45:G76" si="3">IF(ABS(F45)&lt;0.02,"MATCH",IF(D45=0,"MISSING","DIFF"))</f>
        <v>MATCH</v>
      </c>
      <c r="H45" s="2"/>
    </row>
    <row r="46" spans="1:8" x14ac:dyDescent="0.3">
      <c r="A46" s="2"/>
      <c r="B46" s="38" t="s">
        <v>76</v>
      </c>
      <c r="C46" s="38" t="s">
        <v>293</v>
      </c>
      <c r="D46" s="35">
        <f>SUMIFS('IS GL Summary'!F:F,'IS GL Summary'!C:C,B46,'IS GL Summary'!B:B,"&gt;="&amp;DATE(2025,1,1),'IS GL Summary'!B:B,"&lt;="&amp;DATE(2026,3,31))</f>
        <v>7281.8899999999994</v>
      </c>
      <c r="E46" s="35">
        <f>IFERROR(_xlfn.XLOOKUP(B46,'P&amp;L'!B:B,'P&amp;L'!R:R,0),0)</f>
        <v>7281.89</v>
      </c>
      <c r="F46" s="35">
        <f t="shared" si="2"/>
        <v>0</v>
      </c>
      <c r="G46" s="2" t="str">
        <f t="shared" si="3"/>
        <v>MATCH</v>
      </c>
      <c r="H46" s="2"/>
    </row>
    <row r="47" spans="1:8" x14ac:dyDescent="0.3">
      <c r="A47" s="2"/>
      <c r="B47" s="38" t="s">
        <v>77</v>
      </c>
      <c r="C47" s="38" t="s">
        <v>293</v>
      </c>
      <c r="D47" s="35">
        <f>SUMIFS('IS GL Summary'!F:F,'IS GL Summary'!C:C,B47,'IS GL Summary'!B:B,"&gt;="&amp;DATE(2025,1,1),'IS GL Summary'!B:B,"&lt;="&amp;DATE(2026,3,31))</f>
        <v>3051.5299999999997</v>
      </c>
      <c r="E47" s="35">
        <f>IFERROR(_xlfn.XLOOKUP(B47,'P&amp;L'!B:B,'P&amp;L'!R:R,0),0)</f>
        <v>3051.53</v>
      </c>
      <c r="F47" s="35">
        <f t="shared" si="2"/>
        <v>0</v>
      </c>
      <c r="G47" s="2" t="str">
        <f t="shared" si="3"/>
        <v>MATCH</v>
      </c>
      <c r="H47" s="2"/>
    </row>
    <row r="48" spans="1:8" x14ac:dyDescent="0.3">
      <c r="A48" s="2"/>
      <c r="B48" s="38" t="s">
        <v>78</v>
      </c>
      <c r="C48" s="38" t="s">
        <v>293</v>
      </c>
      <c r="D48" s="35">
        <f>SUMIFS('IS GL Summary'!F:F,'IS GL Summary'!C:C,B48,'IS GL Summary'!B:B,"&gt;="&amp;DATE(2025,1,1),'IS GL Summary'!B:B,"&lt;="&amp;DATE(2026,3,31))</f>
        <v>517.36</v>
      </c>
      <c r="E48" s="35">
        <f>IFERROR(_xlfn.XLOOKUP(B48,'P&amp;L'!B:B,'P&amp;L'!R:R,0),0)</f>
        <v>517.36</v>
      </c>
      <c r="F48" s="35">
        <f t="shared" si="2"/>
        <v>0</v>
      </c>
      <c r="G48" s="2" t="str">
        <f t="shared" si="3"/>
        <v>MATCH</v>
      </c>
      <c r="H48" s="2"/>
    </row>
    <row r="49" spans="1:8" x14ac:dyDescent="0.3">
      <c r="A49" s="2"/>
      <c r="B49" s="38" t="s">
        <v>79</v>
      </c>
      <c r="C49" s="38" t="s">
        <v>293</v>
      </c>
      <c r="D49" s="35">
        <f>SUMIFS('IS GL Summary'!F:F,'IS GL Summary'!C:C,B49,'IS GL Summary'!B:B,"&gt;="&amp;DATE(2025,1,1),'IS GL Summary'!B:B,"&lt;="&amp;DATE(2026,3,31))</f>
        <v>427.58</v>
      </c>
      <c r="E49" s="35">
        <f>IFERROR(_xlfn.XLOOKUP(B49,'P&amp;L'!B:B,'P&amp;L'!R:R,0),0)</f>
        <v>427.58</v>
      </c>
      <c r="F49" s="35">
        <f t="shared" si="2"/>
        <v>0</v>
      </c>
      <c r="G49" s="2" t="str">
        <f t="shared" si="3"/>
        <v>MATCH</v>
      </c>
      <c r="H49" s="2"/>
    </row>
    <row r="50" spans="1:8" x14ac:dyDescent="0.3">
      <c r="A50" s="2"/>
      <c r="B50" s="38" t="s">
        <v>80</v>
      </c>
      <c r="C50" s="38" t="s">
        <v>293</v>
      </c>
      <c r="D50" s="35">
        <f>SUMIFS('IS GL Summary'!F:F,'IS GL Summary'!C:C,B50,'IS GL Summary'!B:B,"&gt;="&amp;DATE(2025,1,1),'IS GL Summary'!B:B,"&lt;="&amp;DATE(2026,3,31))</f>
        <v>328.94</v>
      </c>
      <c r="E50" s="35">
        <f>IFERROR(_xlfn.XLOOKUP(B50,'P&amp;L'!B:B,'P&amp;L'!R:R,0),0)</f>
        <v>328.94</v>
      </c>
      <c r="F50" s="35">
        <f t="shared" si="2"/>
        <v>0</v>
      </c>
      <c r="G50" s="2" t="str">
        <f t="shared" si="3"/>
        <v>MATCH</v>
      </c>
      <c r="H50" s="2"/>
    </row>
    <row r="51" spans="1:8" x14ac:dyDescent="0.3">
      <c r="A51" s="2"/>
      <c r="B51" s="38" t="s">
        <v>81</v>
      </c>
      <c r="C51" s="38" t="s">
        <v>293</v>
      </c>
      <c r="D51" s="35">
        <f>SUMIFS('IS GL Summary'!F:F,'IS GL Summary'!C:C,B51,'IS GL Summary'!B:B,"&gt;="&amp;DATE(2025,1,1),'IS GL Summary'!B:B,"&lt;="&amp;DATE(2026,3,31))</f>
        <v>330.31</v>
      </c>
      <c r="E51" s="35">
        <f>IFERROR(_xlfn.XLOOKUP(B51,'P&amp;L'!B:B,'P&amp;L'!R:R,0),0)</f>
        <v>330.31</v>
      </c>
      <c r="F51" s="35">
        <f t="shared" si="2"/>
        <v>0</v>
      </c>
      <c r="G51" s="2" t="str">
        <f t="shared" si="3"/>
        <v>MATCH</v>
      </c>
      <c r="H51" s="2"/>
    </row>
    <row r="52" spans="1:8" x14ac:dyDescent="0.3">
      <c r="A52" s="2"/>
      <c r="B52" s="38" t="s">
        <v>84</v>
      </c>
      <c r="C52" s="38" t="s">
        <v>293</v>
      </c>
      <c r="D52" s="35">
        <f>SUMIFS('IS GL Summary'!F:F,'IS GL Summary'!C:C,B52,'IS GL Summary'!B:B,"&gt;="&amp;DATE(2025,1,1),'IS GL Summary'!B:B,"&lt;="&amp;DATE(2026,3,31))</f>
        <v>5130.17</v>
      </c>
      <c r="E52" s="35">
        <f>IFERROR(_xlfn.XLOOKUP(B52,'P&amp;L'!B:B,'P&amp;L'!R:R,0),0)</f>
        <v>5130.17</v>
      </c>
      <c r="F52" s="35">
        <f t="shared" si="2"/>
        <v>0</v>
      </c>
      <c r="G52" s="2" t="str">
        <f t="shared" si="3"/>
        <v>MATCH</v>
      </c>
      <c r="H52" s="2"/>
    </row>
    <row r="53" spans="1:8" x14ac:dyDescent="0.3">
      <c r="A53" s="2"/>
      <c r="B53" s="38" t="s">
        <v>85</v>
      </c>
      <c r="C53" s="38" t="s">
        <v>293</v>
      </c>
      <c r="D53" s="35">
        <f>SUMIFS('IS GL Summary'!F:F,'IS GL Summary'!C:C,B53,'IS GL Summary'!B:B,"&gt;="&amp;DATE(2025,1,1),'IS GL Summary'!B:B,"&lt;="&amp;DATE(2026,3,31))</f>
        <v>4655.4699999999993</v>
      </c>
      <c r="E53" s="35">
        <f>IFERROR(_xlfn.XLOOKUP(B53,'P&amp;L'!B:B,'P&amp;L'!R:R,0),0)</f>
        <v>4655.47</v>
      </c>
      <c r="F53" s="35">
        <f t="shared" si="2"/>
        <v>0</v>
      </c>
      <c r="G53" s="2" t="str">
        <f t="shared" si="3"/>
        <v>MATCH</v>
      </c>
      <c r="H53" s="2"/>
    </row>
    <row r="54" spans="1:8" x14ac:dyDescent="0.3">
      <c r="A54" s="2"/>
      <c r="B54" s="38" t="s">
        <v>86</v>
      </c>
      <c r="C54" s="38" t="s">
        <v>293</v>
      </c>
      <c r="D54" s="35">
        <f>SUMIFS('IS GL Summary'!F:F,'IS GL Summary'!C:C,B54,'IS GL Summary'!B:B,"&gt;="&amp;DATE(2025,1,1),'IS GL Summary'!B:B,"&lt;="&amp;DATE(2026,3,31))</f>
        <v>3702.1400000000003</v>
      </c>
      <c r="E54" s="35">
        <f>IFERROR(_xlfn.XLOOKUP(B54,'P&amp;L'!B:B,'P&amp;L'!R:R,0),0)</f>
        <v>3702.14</v>
      </c>
      <c r="F54" s="35">
        <f t="shared" si="2"/>
        <v>0</v>
      </c>
      <c r="G54" s="2" t="str">
        <f t="shared" si="3"/>
        <v>MATCH</v>
      </c>
      <c r="H54" s="2"/>
    </row>
    <row r="55" spans="1:8" x14ac:dyDescent="0.3">
      <c r="A55" s="2"/>
      <c r="B55" s="38" t="s">
        <v>87</v>
      </c>
      <c r="C55" s="38" t="s">
        <v>293</v>
      </c>
      <c r="D55" s="35">
        <f>SUMIFS('IS GL Summary'!F:F,'IS GL Summary'!C:C,B55,'IS GL Summary'!B:B,"&gt;="&amp;DATE(2025,1,1),'IS GL Summary'!B:B,"&lt;="&amp;DATE(2026,3,31))</f>
        <v>897.90000000000009</v>
      </c>
      <c r="E55" s="35">
        <f>IFERROR(_xlfn.XLOOKUP(B55,'P&amp;L'!B:B,'P&amp;L'!R:R,0),0)</f>
        <v>897.9</v>
      </c>
      <c r="F55" s="35">
        <f t="shared" si="2"/>
        <v>0</v>
      </c>
      <c r="G55" s="2" t="str">
        <f t="shared" si="3"/>
        <v>MATCH</v>
      </c>
      <c r="H55" s="2"/>
    </row>
    <row r="56" spans="1:8" x14ac:dyDescent="0.3">
      <c r="A56" s="2"/>
      <c r="B56" s="38" t="s">
        <v>88</v>
      </c>
      <c r="C56" s="38" t="s">
        <v>293</v>
      </c>
      <c r="D56" s="35">
        <f>SUMIFS('IS GL Summary'!F:F,'IS GL Summary'!C:C,B56,'IS GL Summary'!B:B,"&gt;="&amp;DATE(2025,1,1),'IS GL Summary'!B:B,"&lt;="&amp;DATE(2026,3,31))</f>
        <v>335.83</v>
      </c>
      <c r="E56" s="35">
        <f>IFERROR(_xlfn.XLOOKUP(B56,'P&amp;L'!B:B,'P&amp;L'!R:R,0),0)</f>
        <v>335.83</v>
      </c>
      <c r="F56" s="35">
        <f t="shared" si="2"/>
        <v>0</v>
      </c>
      <c r="G56" s="2" t="str">
        <f t="shared" si="3"/>
        <v>MATCH</v>
      </c>
      <c r="H56" s="2"/>
    </row>
    <row r="57" spans="1:8" x14ac:dyDescent="0.3">
      <c r="A57" s="2"/>
      <c r="B57" s="38" t="s">
        <v>91</v>
      </c>
      <c r="C57" s="38" t="s">
        <v>293</v>
      </c>
      <c r="D57" s="35">
        <f>SUMIFS('IS GL Summary'!F:F,'IS GL Summary'!C:C,B57,'IS GL Summary'!B:B,"&gt;="&amp;DATE(2025,1,1),'IS GL Summary'!B:B,"&lt;="&amp;DATE(2026,3,31))</f>
        <v>7596.03</v>
      </c>
      <c r="E57" s="35">
        <f>IFERROR(_xlfn.XLOOKUP(B57,'P&amp;L'!B:B,'P&amp;L'!R:R,0),0)</f>
        <v>7596.03</v>
      </c>
      <c r="F57" s="35">
        <f t="shared" si="2"/>
        <v>0</v>
      </c>
      <c r="G57" s="2" t="str">
        <f t="shared" si="3"/>
        <v>MATCH</v>
      </c>
      <c r="H57" s="2"/>
    </row>
    <row r="58" spans="1:8" x14ac:dyDescent="0.3">
      <c r="A58" s="2"/>
      <c r="B58" s="38" t="s">
        <v>92</v>
      </c>
      <c r="C58" s="38" t="s">
        <v>293</v>
      </c>
      <c r="D58" s="35">
        <f>SUMIFS('IS GL Summary'!F:F,'IS GL Summary'!C:C,B58,'IS GL Summary'!B:B,"&gt;="&amp;DATE(2025,1,1),'IS GL Summary'!B:B,"&lt;="&amp;DATE(2026,3,31))</f>
        <v>12090.34</v>
      </c>
      <c r="E58" s="35">
        <f>IFERROR(_xlfn.XLOOKUP(B58,'P&amp;L'!B:B,'P&amp;L'!R:R,0),0)</f>
        <v>12090.34</v>
      </c>
      <c r="F58" s="35">
        <f t="shared" si="2"/>
        <v>0</v>
      </c>
      <c r="G58" s="2" t="str">
        <f t="shared" si="3"/>
        <v>MATCH</v>
      </c>
      <c r="H58" s="2"/>
    </row>
    <row r="59" spans="1:8" x14ac:dyDescent="0.3">
      <c r="A59" s="2"/>
      <c r="B59" s="38" t="s">
        <v>93</v>
      </c>
      <c r="C59" s="38" t="s">
        <v>293</v>
      </c>
      <c r="D59" s="35">
        <f>SUMIFS('IS GL Summary'!F:F,'IS GL Summary'!C:C,B59,'IS GL Summary'!B:B,"&gt;="&amp;DATE(2025,1,1),'IS GL Summary'!B:B,"&lt;="&amp;DATE(2026,3,31))</f>
        <v>2387.6000000000004</v>
      </c>
      <c r="E59" s="35">
        <f>IFERROR(_xlfn.XLOOKUP(B59,'P&amp;L'!B:B,'P&amp;L'!R:R,0),0)</f>
        <v>2387.6</v>
      </c>
      <c r="F59" s="35">
        <f t="shared" si="2"/>
        <v>0</v>
      </c>
      <c r="G59" s="2" t="str">
        <f t="shared" si="3"/>
        <v>MATCH</v>
      </c>
      <c r="H59" s="2"/>
    </row>
    <row r="60" spans="1:8" x14ac:dyDescent="0.3">
      <c r="A60" s="2"/>
      <c r="B60" s="38" t="s">
        <v>94</v>
      </c>
      <c r="C60" s="38" t="s">
        <v>293</v>
      </c>
      <c r="D60" s="35">
        <f>SUMIFS('IS GL Summary'!F:F,'IS GL Summary'!C:C,B60,'IS GL Summary'!B:B,"&gt;="&amp;DATE(2025,1,1),'IS GL Summary'!B:B,"&lt;="&amp;DATE(2026,3,31))</f>
        <v>2130.39</v>
      </c>
      <c r="E60" s="35">
        <f>IFERROR(_xlfn.XLOOKUP(B60,'P&amp;L'!B:B,'P&amp;L'!R:R,0),0)</f>
        <v>2130.39</v>
      </c>
      <c r="F60" s="35">
        <f t="shared" si="2"/>
        <v>0</v>
      </c>
      <c r="G60" s="2" t="str">
        <f t="shared" si="3"/>
        <v>MATCH</v>
      </c>
      <c r="H60" s="2"/>
    </row>
    <row r="61" spans="1:8" x14ac:dyDescent="0.3">
      <c r="A61" s="2"/>
      <c r="B61" s="38" t="s">
        <v>95</v>
      </c>
      <c r="C61" s="38" t="s">
        <v>293</v>
      </c>
      <c r="D61" s="35">
        <f>SUMIFS('IS GL Summary'!F:F,'IS GL Summary'!C:C,B61,'IS GL Summary'!B:B,"&gt;="&amp;DATE(2025,1,1),'IS GL Summary'!B:B,"&lt;="&amp;DATE(2026,3,31))</f>
        <v>10920.619999999999</v>
      </c>
      <c r="E61" s="35">
        <f>IFERROR(_xlfn.XLOOKUP(B61,'P&amp;L'!B:B,'P&amp;L'!R:R,0),0)</f>
        <v>10920.62</v>
      </c>
      <c r="F61" s="35">
        <f t="shared" si="2"/>
        <v>0</v>
      </c>
      <c r="G61" s="2" t="str">
        <f t="shared" si="3"/>
        <v>MATCH</v>
      </c>
      <c r="H61" s="2"/>
    </row>
    <row r="62" spans="1:8" x14ac:dyDescent="0.3">
      <c r="A62" s="2"/>
      <c r="B62" s="38" t="s">
        <v>96</v>
      </c>
      <c r="C62" s="38" t="s">
        <v>293</v>
      </c>
      <c r="D62" s="35">
        <f>SUMIFS('IS GL Summary'!F:F,'IS GL Summary'!C:C,B62,'IS GL Summary'!B:B,"&gt;="&amp;DATE(2025,1,1),'IS GL Summary'!B:B,"&lt;="&amp;DATE(2026,3,31))</f>
        <v>78.2</v>
      </c>
      <c r="E62" s="35">
        <f>IFERROR(_xlfn.XLOOKUP(B62,'P&amp;L'!B:B,'P&amp;L'!R:R,0),0)</f>
        <v>78.2</v>
      </c>
      <c r="F62" s="35">
        <f t="shared" si="2"/>
        <v>0</v>
      </c>
      <c r="G62" s="2" t="str">
        <f t="shared" si="3"/>
        <v>MATCH</v>
      </c>
      <c r="H62" s="2"/>
    </row>
    <row r="63" spans="1:8" x14ac:dyDescent="0.3">
      <c r="A63" s="2"/>
      <c r="B63" s="38" t="s">
        <v>99</v>
      </c>
      <c r="C63" s="38" t="s">
        <v>293</v>
      </c>
      <c r="D63" s="35">
        <f>SUMIFS('IS GL Summary'!F:F,'IS GL Summary'!C:C,B63,'IS GL Summary'!B:B,"&gt;="&amp;DATE(2025,1,1),'IS GL Summary'!B:B,"&lt;="&amp;DATE(2026,3,31))</f>
        <v>29003.859999999997</v>
      </c>
      <c r="E63" s="35">
        <f>IFERROR(_xlfn.XLOOKUP(B63,'P&amp;L'!B:B,'P&amp;L'!R:R,0),0)</f>
        <v>29003.86</v>
      </c>
      <c r="F63" s="35">
        <f t="shared" si="2"/>
        <v>0</v>
      </c>
      <c r="G63" s="2" t="str">
        <f t="shared" si="3"/>
        <v>MATCH</v>
      </c>
      <c r="H63" s="2"/>
    </row>
    <row r="64" spans="1:8" x14ac:dyDescent="0.3">
      <c r="A64" s="2"/>
      <c r="B64" s="38" t="s">
        <v>100</v>
      </c>
      <c r="C64" s="38" t="s">
        <v>293</v>
      </c>
      <c r="D64" s="35">
        <f>SUMIFS('IS GL Summary'!F:F,'IS GL Summary'!C:C,B64,'IS GL Summary'!B:B,"&gt;="&amp;DATE(2025,1,1),'IS GL Summary'!B:B,"&lt;="&amp;DATE(2026,3,31))</f>
        <v>1720.19</v>
      </c>
      <c r="E64" s="35">
        <f>IFERROR(_xlfn.XLOOKUP(B64,'P&amp;L'!B:B,'P&amp;L'!R:R,0),0)</f>
        <v>1720.19</v>
      </c>
      <c r="F64" s="35">
        <f t="shared" si="2"/>
        <v>0</v>
      </c>
      <c r="G64" s="2" t="str">
        <f t="shared" si="3"/>
        <v>MATCH</v>
      </c>
      <c r="H64" s="2"/>
    </row>
    <row r="65" spans="1:8" x14ac:dyDescent="0.3">
      <c r="A65" s="2"/>
      <c r="B65" s="38" t="s">
        <v>101</v>
      </c>
      <c r="C65" s="38" t="s">
        <v>293</v>
      </c>
      <c r="D65" s="35">
        <f>SUMIFS('IS GL Summary'!F:F,'IS GL Summary'!C:C,B65,'IS GL Summary'!B:B,"&gt;="&amp;DATE(2025,1,1),'IS GL Summary'!B:B,"&lt;="&amp;DATE(2026,3,31))</f>
        <v>2138.4400000000005</v>
      </c>
      <c r="E65" s="35">
        <f>IFERROR(_xlfn.XLOOKUP(B65,'P&amp;L'!B:B,'P&amp;L'!R:R,0),0)</f>
        <v>2138.44</v>
      </c>
      <c r="F65" s="35">
        <f t="shared" si="2"/>
        <v>0</v>
      </c>
      <c r="G65" s="2" t="str">
        <f t="shared" si="3"/>
        <v>MATCH</v>
      </c>
      <c r="H65" s="2"/>
    </row>
    <row r="66" spans="1:8" x14ac:dyDescent="0.3">
      <c r="A66" s="2"/>
      <c r="B66" s="38" t="s">
        <v>102</v>
      </c>
      <c r="C66" s="38" t="s">
        <v>293</v>
      </c>
      <c r="D66" s="35">
        <f>SUMIFS('IS GL Summary'!F:F,'IS GL Summary'!C:C,B66,'IS GL Summary'!B:B,"&gt;="&amp;DATE(2025,1,1),'IS GL Summary'!B:B,"&lt;="&amp;DATE(2026,3,31))</f>
        <v>7292.73</v>
      </c>
      <c r="E66" s="35">
        <f>IFERROR(_xlfn.XLOOKUP(B66,'P&amp;L'!B:B,'P&amp;L'!R:R,0),0)</f>
        <v>7292.73</v>
      </c>
      <c r="F66" s="35">
        <f t="shared" si="2"/>
        <v>0</v>
      </c>
      <c r="G66" s="2" t="str">
        <f t="shared" si="3"/>
        <v>MATCH</v>
      </c>
      <c r="H66" s="2"/>
    </row>
    <row r="67" spans="1:8" x14ac:dyDescent="0.3">
      <c r="A67" s="2"/>
      <c r="B67" s="38" t="s">
        <v>103</v>
      </c>
      <c r="C67" s="38" t="s">
        <v>293</v>
      </c>
      <c r="D67" s="35">
        <f>SUMIFS('IS GL Summary'!F:F,'IS GL Summary'!C:C,B67,'IS GL Summary'!B:B,"&gt;="&amp;DATE(2025,1,1),'IS GL Summary'!B:B,"&lt;="&amp;DATE(2026,3,31))</f>
        <v>2547</v>
      </c>
      <c r="E67" s="35">
        <f>IFERROR(_xlfn.XLOOKUP(B67,'P&amp;L'!B:B,'P&amp;L'!R:R,0),0)</f>
        <v>2547</v>
      </c>
      <c r="F67" s="35">
        <f t="shared" si="2"/>
        <v>0</v>
      </c>
      <c r="G67" s="2" t="str">
        <f t="shared" si="3"/>
        <v>MATCH</v>
      </c>
      <c r="H67" s="2"/>
    </row>
    <row r="68" spans="1:8" x14ac:dyDescent="0.3">
      <c r="A68" s="2"/>
      <c r="B68" s="38" t="s">
        <v>104</v>
      </c>
      <c r="C68" s="38" t="s">
        <v>293</v>
      </c>
      <c r="D68" s="35">
        <f>SUMIFS('IS GL Summary'!F:F,'IS GL Summary'!C:C,B68,'IS GL Summary'!B:B,"&gt;="&amp;DATE(2025,1,1),'IS GL Summary'!B:B,"&lt;="&amp;DATE(2026,3,31))</f>
        <v>1603.52</v>
      </c>
      <c r="E68" s="35">
        <f>IFERROR(_xlfn.XLOOKUP(B68,'P&amp;L'!B:B,'P&amp;L'!R:R,0),0)</f>
        <v>1603.52</v>
      </c>
      <c r="F68" s="35">
        <f t="shared" si="2"/>
        <v>0</v>
      </c>
      <c r="G68" s="2" t="str">
        <f t="shared" si="3"/>
        <v>MATCH</v>
      </c>
      <c r="H68" s="2"/>
    </row>
    <row r="69" spans="1:8" x14ac:dyDescent="0.3">
      <c r="A69" s="2"/>
      <c r="B69" s="38" t="s">
        <v>105</v>
      </c>
      <c r="C69" s="38" t="s">
        <v>293</v>
      </c>
      <c r="D69" s="35">
        <f>SUMIFS('IS GL Summary'!F:F,'IS GL Summary'!C:C,B69,'IS GL Summary'!B:B,"&gt;="&amp;DATE(2025,1,1),'IS GL Summary'!B:B,"&lt;="&amp;DATE(2026,3,31))</f>
        <v>1591.6399999999999</v>
      </c>
      <c r="E69" s="35">
        <f>IFERROR(_xlfn.XLOOKUP(B69,'P&amp;L'!B:B,'P&amp;L'!R:R,0),0)</f>
        <v>1591.64</v>
      </c>
      <c r="F69" s="35">
        <f t="shared" si="2"/>
        <v>0</v>
      </c>
      <c r="G69" s="2" t="str">
        <f t="shared" si="3"/>
        <v>MATCH</v>
      </c>
      <c r="H69" s="2"/>
    </row>
    <row r="70" spans="1:8" x14ac:dyDescent="0.3">
      <c r="A70" s="2"/>
      <c r="B70" s="38" t="s">
        <v>106</v>
      </c>
      <c r="C70" s="38" t="s">
        <v>293</v>
      </c>
      <c r="D70" s="35">
        <f>SUMIFS('IS GL Summary'!F:F,'IS GL Summary'!C:C,B70,'IS GL Summary'!B:B,"&gt;="&amp;DATE(2025,1,1),'IS GL Summary'!B:B,"&lt;="&amp;DATE(2026,3,31))</f>
        <v>756.27</v>
      </c>
      <c r="E70" s="35">
        <f>IFERROR(_xlfn.XLOOKUP(B70,'P&amp;L'!B:B,'P&amp;L'!R:R,0),0)</f>
        <v>756.27</v>
      </c>
      <c r="F70" s="35">
        <f t="shared" si="2"/>
        <v>0</v>
      </c>
      <c r="G70" s="2" t="str">
        <f t="shared" si="3"/>
        <v>MATCH</v>
      </c>
      <c r="H70" s="2"/>
    </row>
    <row r="71" spans="1:8" x14ac:dyDescent="0.3">
      <c r="A71" s="2"/>
      <c r="B71" s="38" t="s">
        <v>107</v>
      </c>
      <c r="C71" s="38" t="s">
        <v>293</v>
      </c>
      <c r="D71" s="35">
        <f>SUMIFS('IS GL Summary'!F:F,'IS GL Summary'!C:C,B71,'IS GL Summary'!B:B,"&gt;="&amp;DATE(2025,1,1),'IS GL Summary'!B:B,"&lt;="&amp;DATE(2026,3,31))</f>
        <v>25</v>
      </c>
      <c r="E71" s="35">
        <f>IFERROR(_xlfn.XLOOKUP(B71,'P&amp;L'!B:B,'P&amp;L'!R:R,0),0)</f>
        <v>25</v>
      </c>
      <c r="F71" s="35">
        <f t="shared" si="2"/>
        <v>0</v>
      </c>
      <c r="G71" s="2" t="str">
        <f t="shared" si="3"/>
        <v>MATCH</v>
      </c>
      <c r="H71" s="2"/>
    </row>
    <row r="72" spans="1:8" x14ac:dyDescent="0.3">
      <c r="A72" s="2"/>
      <c r="B72" s="38" t="s">
        <v>108</v>
      </c>
      <c r="C72" s="38" t="s">
        <v>293</v>
      </c>
      <c r="D72" s="35">
        <f>SUMIFS('IS GL Summary'!F:F,'IS GL Summary'!C:C,B72,'IS GL Summary'!B:B,"&gt;="&amp;DATE(2025,1,1),'IS GL Summary'!B:B,"&lt;="&amp;DATE(2026,3,31))</f>
        <v>694.9</v>
      </c>
      <c r="E72" s="35">
        <f>IFERROR(_xlfn.XLOOKUP(B72,'P&amp;L'!B:B,'P&amp;L'!R:R,0),0)</f>
        <v>694.9</v>
      </c>
      <c r="F72" s="35">
        <f t="shared" si="2"/>
        <v>0</v>
      </c>
      <c r="G72" s="2" t="str">
        <f t="shared" si="3"/>
        <v>MATCH</v>
      </c>
      <c r="H72" s="2"/>
    </row>
    <row r="73" spans="1:8" x14ac:dyDescent="0.3">
      <c r="A73" s="2"/>
      <c r="B73" s="38" t="s">
        <v>109</v>
      </c>
      <c r="C73" s="38" t="s">
        <v>293</v>
      </c>
      <c r="D73" s="35">
        <f>SUMIFS('IS GL Summary'!F:F,'IS GL Summary'!C:C,B73,'IS GL Summary'!B:B,"&gt;="&amp;DATE(2025,1,1),'IS GL Summary'!B:B,"&lt;="&amp;DATE(2026,3,31))</f>
        <v>499</v>
      </c>
      <c r="E73" s="35">
        <f>IFERROR(_xlfn.XLOOKUP(B73,'P&amp;L'!B:B,'P&amp;L'!R:R,0),0)</f>
        <v>499</v>
      </c>
      <c r="F73" s="35">
        <f t="shared" si="2"/>
        <v>0</v>
      </c>
      <c r="G73" s="2" t="str">
        <f t="shared" si="3"/>
        <v>MATCH</v>
      </c>
      <c r="H73" s="2"/>
    </row>
    <row r="74" spans="1:8" x14ac:dyDescent="0.3">
      <c r="A74" s="2"/>
      <c r="B74" s="38" t="s">
        <v>110</v>
      </c>
      <c r="C74" s="38" t="s">
        <v>293</v>
      </c>
      <c r="D74" s="35">
        <f>SUMIFS('IS GL Summary'!F:F,'IS GL Summary'!C:C,B74,'IS GL Summary'!B:B,"&gt;="&amp;DATE(2025,1,1),'IS GL Summary'!B:B,"&lt;="&amp;DATE(2026,3,31))</f>
        <v>7434.94</v>
      </c>
      <c r="E74" s="35">
        <f>IFERROR(_xlfn.XLOOKUP(B74,'P&amp;L'!B:B,'P&amp;L'!R:R,0),0)</f>
        <v>7434.94</v>
      </c>
      <c r="F74" s="35">
        <f t="shared" si="2"/>
        <v>0</v>
      </c>
      <c r="G74" s="2" t="str">
        <f t="shared" si="3"/>
        <v>MATCH</v>
      </c>
      <c r="H74" s="2"/>
    </row>
    <row r="75" spans="1:8" x14ac:dyDescent="0.3">
      <c r="A75" s="2"/>
      <c r="B75" s="38" t="s">
        <v>113</v>
      </c>
      <c r="C75" s="38" t="s">
        <v>293</v>
      </c>
      <c r="D75" s="35">
        <f>SUMIFS('IS GL Summary'!F:F,'IS GL Summary'!C:C,B75,'IS GL Summary'!B:B,"&gt;="&amp;DATE(2025,1,1),'IS GL Summary'!B:B,"&lt;="&amp;DATE(2026,3,31))</f>
        <v>6629.0599999999986</v>
      </c>
      <c r="E75" s="35">
        <f>IFERROR(_xlfn.XLOOKUP(B75,'P&amp;L'!B:B,'P&amp;L'!R:R,0),0)</f>
        <v>6629.06</v>
      </c>
      <c r="F75" s="35">
        <f t="shared" si="2"/>
        <v>0</v>
      </c>
      <c r="G75" s="2" t="str">
        <f t="shared" si="3"/>
        <v>MATCH</v>
      </c>
      <c r="H75" s="2"/>
    </row>
    <row r="76" spans="1:8" x14ac:dyDescent="0.3">
      <c r="A76" s="2"/>
      <c r="B76" s="38" t="s">
        <v>114</v>
      </c>
      <c r="C76" s="38" t="s">
        <v>293</v>
      </c>
      <c r="D76" s="35">
        <f>SUMIFS('IS GL Summary'!F:F,'IS GL Summary'!C:C,B76,'IS GL Summary'!B:B,"&gt;="&amp;DATE(2025,1,1),'IS GL Summary'!B:B,"&lt;="&amp;DATE(2026,3,31))</f>
        <v>3023</v>
      </c>
      <c r="E76" s="35">
        <f>IFERROR(_xlfn.XLOOKUP(B76,'P&amp;L'!B:B,'P&amp;L'!R:R,0),0)</f>
        <v>3023</v>
      </c>
      <c r="F76" s="35">
        <f t="shared" si="2"/>
        <v>0</v>
      </c>
      <c r="G76" s="2" t="str">
        <f t="shared" si="3"/>
        <v>MATCH</v>
      </c>
      <c r="H76" s="2"/>
    </row>
    <row r="77" spans="1:8" x14ac:dyDescent="0.3">
      <c r="A77" s="2"/>
      <c r="B77" s="38" t="s">
        <v>117</v>
      </c>
      <c r="C77" s="38" t="s">
        <v>293</v>
      </c>
      <c r="D77" s="35">
        <f>SUMIFS('IS GL Summary'!F:F,'IS GL Summary'!C:C,B77,'IS GL Summary'!B:B,"&gt;="&amp;DATE(2025,1,1),'IS GL Summary'!B:B,"&lt;="&amp;DATE(2026,3,31))</f>
        <v>1768.8400000000001</v>
      </c>
      <c r="E77" s="35">
        <f>IFERROR(_xlfn.XLOOKUP(B77,'P&amp;L'!B:B,'P&amp;L'!R:R,0),0)</f>
        <v>1768.84</v>
      </c>
      <c r="F77" s="35">
        <f t="shared" ref="F77:F82" si="4">D77-E77</f>
        <v>0</v>
      </c>
      <c r="G77" s="2" t="str">
        <f t="shared" ref="G77:G82" si="5">IF(ABS(F77)&lt;0.02,"MATCH",IF(D77=0,"MISSING","DIFF"))</f>
        <v>MATCH</v>
      </c>
      <c r="H77" s="2"/>
    </row>
    <row r="78" spans="1:8" x14ac:dyDescent="0.3">
      <c r="A78" s="2"/>
      <c r="B78" s="38" t="s">
        <v>118</v>
      </c>
      <c r="C78" s="38" t="s">
        <v>293</v>
      </c>
      <c r="D78" s="35">
        <f>SUMIFS('IS GL Summary'!F:F,'IS GL Summary'!C:C,B78,'IS GL Summary'!B:B,"&gt;="&amp;DATE(2025,1,1),'IS GL Summary'!B:B,"&lt;="&amp;DATE(2026,3,31))</f>
        <v>149.46</v>
      </c>
      <c r="E78" s="35">
        <f>IFERROR(_xlfn.XLOOKUP(B78,'P&amp;L'!B:B,'P&amp;L'!R:R,0),0)</f>
        <v>149.46</v>
      </c>
      <c r="F78" s="35">
        <f t="shared" si="4"/>
        <v>0</v>
      </c>
      <c r="G78" s="2" t="str">
        <f t="shared" si="5"/>
        <v>MATCH</v>
      </c>
      <c r="H78" s="2"/>
    </row>
    <row r="79" spans="1:8" x14ac:dyDescent="0.3">
      <c r="A79" s="2"/>
      <c r="B79" s="38" t="s">
        <v>119</v>
      </c>
      <c r="C79" s="38" t="s">
        <v>293</v>
      </c>
      <c r="D79" s="35">
        <f>SUMIFS('IS GL Summary'!F:F,'IS GL Summary'!C:C,B79,'IS GL Summary'!B:B,"&gt;="&amp;DATE(2025,1,1),'IS GL Summary'!B:B,"&lt;="&amp;DATE(2026,3,31))</f>
        <v>1398</v>
      </c>
      <c r="E79" s="35">
        <f>IFERROR(_xlfn.XLOOKUP(B79,'P&amp;L'!B:B,'P&amp;L'!R:R,0),0)</f>
        <v>1398</v>
      </c>
      <c r="F79" s="35">
        <f t="shared" si="4"/>
        <v>0</v>
      </c>
      <c r="G79" s="2" t="str">
        <f t="shared" si="5"/>
        <v>MATCH</v>
      </c>
      <c r="H79" s="2"/>
    </row>
    <row r="80" spans="1:8" x14ac:dyDescent="0.3">
      <c r="A80" s="2"/>
      <c r="B80" s="38" t="s">
        <v>120</v>
      </c>
      <c r="C80" s="38" t="s">
        <v>293</v>
      </c>
      <c r="D80" s="35">
        <f>SUMIFS('IS GL Summary'!F:F,'IS GL Summary'!C:C,B80,'IS GL Summary'!B:B,"&gt;="&amp;DATE(2025,1,1),'IS GL Summary'!B:B,"&lt;="&amp;DATE(2026,3,31))</f>
        <v>14.09</v>
      </c>
      <c r="E80" s="35">
        <f>IFERROR(_xlfn.XLOOKUP(B80,'P&amp;L'!B:B,'P&amp;L'!R:R,0),0)</f>
        <v>14.09</v>
      </c>
      <c r="F80" s="35">
        <f t="shared" si="4"/>
        <v>0</v>
      </c>
      <c r="G80" s="2" t="str">
        <f t="shared" si="5"/>
        <v>MATCH</v>
      </c>
      <c r="H80" s="2"/>
    </row>
    <row r="81" spans="1:8" x14ac:dyDescent="0.3">
      <c r="A81" s="2"/>
      <c r="B81" s="38" t="s">
        <v>123</v>
      </c>
      <c r="C81" s="38" t="s">
        <v>293</v>
      </c>
      <c r="D81" s="35">
        <f>SUMIFS('IS GL Summary'!F:F,'IS GL Summary'!C:C,B81,'IS GL Summary'!B:B,"&gt;="&amp;DATE(2025,1,1),'IS GL Summary'!B:B,"&lt;="&amp;DATE(2026,3,31))</f>
        <v>67.87</v>
      </c>
      <c r="E81" s="35">
        <f>IFERROR(_xlfn.XLOOKUP(B81,'P&amp;L'!B:B,'P&amp;L'!R:R,0),0)</f>
        <v>67.87</v>
      </c>
      <c r="F81" s="35">
        <f t="shared" si="4"/>
        <v>0</v>
      </c>
      <c r="G81" s="2" t="str">
        <f t="shared" si="5"/>
        <v>MATCH</v>
      </c>
      <c r="H81" s="2"/>
    </row>
    <row r="82" spans="1:8" x14ac:dyDescent="0.3">
      <c r="A82" s="2"/>
      <c r="B82" s="38" t="s">
        <v>124</v>
      </c>
      <c r="C82" s="38" t="s">
        <v>293</v>
      </c>
      <c r="D82" s="35">
        <f>SUMIFS('IS GL Summary'!F:F,'IS GL Summary'!C:C,B82,'IS GL Summary'!B:B,"&gt;="&amp;DATE(2025,1,1),'IS GL Summary'!B:B,"&lt;="&amp;DATE(2026,3,31))</f>
        <v>2142.5</v>
      </c>
      <c r="E82" s="35">
        <f>IFERROR(_xlfn.XLOOKUP(B82,'P&amp;L'!B:B,'P&amp;L'!R:R,0),0)</f>
        <v>2142.5</v>
      </c>
      <c r="F82" s="35">
        <f t="shared" si="4"/>
        <v>0</v>
      </c>
      <c r="G82" s="2" t="str">
        <f t="shared" si="5"/>
        <v>MATCH</v>
      </c>
      <c r="H82" s="2"/>
    </row>
    <row r="83" spans="1:8" x14ac:dyDescent="0.3">
      <c r="A83" s="2"/>
      <c r="B83" s="2"/>
      <c r="C83" s="2"/>
      <c r="D83" s="2"/>
      <c r="E83" s="2"/>
      <c r="F83" s="2"/>
      <c r="G83" s="2"/>
      <c r="H83" s="2"/>
    </row>
    <row r="84" spans="1:8" x14ac:dyDescent="0.3">
      <c r="A84" s="2"/>
      <c r="B84" s="33" t="s">
        <v>295</v>
      </c>
      <c r="C84" s="34"/>
      <c r="D84" s="34"/>
      <c r="E84" s="34"/>
      <c r="F84" s="34"/>
      <c r="G84" s="34"/>
      <c r="H84" s="34"/>
    </row>
    <row r="85" spans="1:8" x14ac:dyDescent="0.3">
      <c r="A85" s="2"/>
      <c r="B85" s="38" t="s">
        <v>553</v>
      </c>
      <c r="C85" s="38" t="s">
        <v>296</v>
      </c>
      <c r="D85" s="35">
        <f>IFERROR(SUMIFS('BS Balances'!G:G,'BS Balances'!B:B,B85,'BS Balances'!F:F,DATE(2026,3,31)),0)</f>
        <v>137582.79999999999</v>
      </c>
      <c r="E85" s="35">
        <f>IFERROR(_xlfn.XLOOKUP(B85,'Balance Sheet'!B:B,'Balance Sheet'!Q:Q,0),0)</f>
        <v>137582.79999999999</v>
      </c>
      <c r="F85" s="35">
        <f t="shared" ref="F85:F106" si="6">D85-E85</f>
        <v>0</v>
      </c>
      <c r="G85" s="2" t="str">
        <f t="shared" ref="G85:G106" si="7">IF(ABS(F85)&lt;0.02,"MATCH",IF(AND(D85=0,C85="BS"),"NO ACTIVITY","DIFF"))</f>
        <v>MATCH</v>
      </c>
      <c r="H85" s="2"/>
    </row>
    <row r="86" spans="1:8" x14ac:dyDescent="0.3">
      <c r="A86" s="2"/>
      <c r="B86" s="38" t="s">
        <v>554</v>
      </c>
      <c r="C86" s="38" t="s">
        <v>296</v>
      </c>
      <c r="D86" s="35">
        <f>IFERROR(SUMIFS('BS Balances'!G:G,'BS Balances'!B:B,B86,'BS Balances'!F:F,DATE(2026,3,31)),0)</f>
        <v>15000</v>
      </c>
      <c r="E86" s="35">
        <f>IFERROR(_xlfn.XLOOKUP(B86,'Balance Sheet'!B:B,'Balance Sheet'!Q:Q,0),0)</f>
        <v>15000</v>
      </c>
      <c r="F86" s="35">
        <f t="shared" si="6"/>
        <v>0</v>
      </c>
      <c r="G86" s="2" t="str">
        <f t="shared" si="7"/>
        <v>MATCH</v>
      </c>
      <c r="H86" s="2"/>
    </row>
    <row r="87" spans="1:8" x14ac:dyDescent="0.3">
      <c r="A87" s="2"/>
      <c r="B87" s="38" t="s">
        <v>141</v>
      </c>
      <c r="C87" s="38" t="s">
        <v>296</v>
      </c>
      <c r="D87" s="35">
        <f>IFERROR(SUMIFS('BS Balances'!G:G,'BS Balances'!B:B,B87,'BS Balances'!F:F,DATE(2026,3,31)),0)</f>
        <v>110018.95</v>
      </c>
      <c r="E87" s="35">
        <f>IFERROR(_xlfn.XLOOKUP(B87,'Balance Sheet'!B:B,'Balance Sheet'!Q:Q,0),0)</f>
        <v>110018.95</v>
      </c>
      <c r="F87" s="35">
        <f t="shared" si="6"/>
        <v>0</v>
      </c>
      <c r="G87" s="2" t="str">
        <f t="shared" si="7"/>
        <v>MATCH</v>
      </c>
      <c r="H87" s="2"/>
    </row>
    <row r="88" spans="1:8" x14ac:dyDescent="0.3">
      <c r="A88" s="2"/>
      <c r="B88" s="38" t="s">
        <v>144</v>
      </c>
      <c r="C88" s="38" t="s">
        <v>296</v>
      </c>
      <c r="D88" s="35">
        <f>IFERROR(SUMIFS('BS Balances'!G:G,'BS Balances'!B:B,B88,'BS Balances'!F:F,DATE(2026,3,31)),0)</f>
        <v>444.15</v>
      </c>
      <c r="E88" s="35">
        <f>IFERROR(_xlfn.XLOOKUP(B88,'Balance Sheet'!B:B,'Balance Sheet'!Q:Q,0),0)</f>
        <v>444.15</v>
      </c>
      <c r="F88" s="35">
        <f t="shared" si="6"/>
        <v>0</v>
      </c>
      <c r="G88" s="2" t="str">
        <f t="shared" si="7"/>
        <v>MATCH</v>
      </c>
      <c r="H88" s="2"/>
    </row>
    <row r="89" spans="1:8" x14ac:dyDescent="0.3">
      <c r="A89" s="2"/>
      <c r="B89" s="38" t="s">
        <v>145</v>
      </c>
      <c r="C89" s="38" t="s">
        <v>296</v>
      </c>
      <c r="D89" s="35">
        <f>IFERROR(SUMIFS('BS Balances'!G:G,'BS Balances'!B:B,B89,'BS Balances'!F:F,DATE(2026,3,31)),0)</f>
        <v>103.26</v>
      </c>
      <c r="E89" s="35">
        <f>IFERROR(_xlfn.XLOOKUP(B89,'Balance Sheet'!B:B,'Balance Sheet'!Q:Q,0),0)</f>
        <v>103.26</v>
      </c>
      <c r="F89" s="35">
        <f t="shared" si="6"/>
        <v>0</v>
      </c>
      <c r="G89" s="2" t="str">
        <f t="shared" si="7"/>
        <v>MATCH</v>
      </c>
      <c r="H89" s="2"/>
    </row>
    <row r="90" spans="1:8" x14ac:dyDescent="0.3">
      <c r="A90" s="2"/>
      <c r="B90" s="38" t="s">
        <v>147</v>
      </c>
      <c r="C90" s="38" t="s">
        <v>296</v>
      </c>
      <c r="D90" s="35">
        <f>IFERROR(SUMIFS('BS Balances'!G:G,'BS Balances'!B:B,B90,'BS Balances'!F:F,DATE(2026,3,31)),0)</f>
        <v>14711.67</v>
      </c>
      <c r="E90" s="35">
        <f>IFERROR(_xlfn.XLOOKUP(B90,'Balance Sheet'!B:B,'Balance Sheet'!Q:Q,0),0)</f>
        <v>14711.67</v>
      </c>
      <c r="F90" s="35">
        <f t="shared" si="6"/>
        <v>0</v>
      </c>
      <c r="G90" s="2" t="str">
        <f t="shared" si="7"/>
        <v>MATCH</v>
      </c>
      <c r="H90" s="2"/>
    </row>
    <row r="91" spans="1:8" x14ac:dyDescent="0.3">
      <c r="A91" s="2"/>
      <c r="B91" s="38" t="s">
        <v>562</v>
      </c>
      <c r="C91" s="38" t="s">
        <v>296</v>
      </c>
      <c r="D91" s="35">
        <f>IFERROR(SUMIFS('BS Balances'!G:G,'BS Balances'!B:B,B91,'BS Balances'!F:F,DATE(2026,3,31)),0)</f>
        <v>9718.11</v>
      </c>
      <c r="E91" s="35">
        <f>IFERROR(_xlfn.XLOOKUP(B91,'Balance Sheet'!B:B,'Balance Sheet'!Q:Q,0),0)</f>
        <v>9718.11</v>
      </c>
      <c r="F91" s="35">
        <f t="shared" si="6"/>
        <v>0</v>
      </c>
      <c r="G91" s="2" t="str">
        <f t="shared" si="7"/>
        <v>MATCH</v>
      </c>
      <c r="H91" s="2"/>
    </row>
    <row r="92" spans="1:8" x14ac:dyDescent="0.3">
      <c r="A92" s="2"/>
      <c r="B92" s="38" t="s">
        <v>148</v>
      </c>
      <c r="C92" s="38" t="s">
        <v>296</v>
      </c>
      <c r="D92" s="35">
        <f>IFERROR(SUMIFS('BS Balances'!G:G,'BS Balances'!B:B,B92,'BS Balances'!F:F,DATE(2026,3,31)),0)</f>
        <v>-197.5</v>
      </c>
      <c r="E92" s="35">
        <f>IFERROR(_xlfn.XLOOKUP(B92,'Balance Sheet'!B:B,'Balance Sheet'!Q:Q,0),0)</f>
        <v>-197.5</v>
      </c>
      <c r="F92" s="35">
        <f t="shared" si="6"/>
        <v>0</v>
      </c>
      <c r="G92" s="2" t="str">
        <f t="shared" si="7"/>
        <v>MATCH</v>
      </c>
      <c r="H92" s="2"/>
    </row>
    <row r="93" spans="1:8" x14ac:dyDescent="0.3">
      <c r="A93" s="2"/>
      <c r="B93" s="38" t="s">
        <v>542</v>
      </c>
      <c r="C93" s="38" t="s">
        <v>296</v>
      </c>
      <c r="D93" s="35">
        <f>IFERROR(SUMIFS('BS Balances'!G:G,'BS Balances'!B:B,B93,'BS Balances'!F:F,DATE(2026,3,31)),0)</f>
        <v>100000</v>
      </c>
      <c r="E93" s="35">
        <f>IFERROR(_xlfn.XLOOKUP(B93,'Balance Sheet'!B:B,'Balance Sheet'!Q:Q,0),0)</f>
        <v>100000</v>
      </c>
      <c r="F93" s="35">
        <f t="shared" si="6"/>
        <v>0</v>
      </c>
      <c r="G93" s="2" t="str">
        <f t="shared" si="7"/>
        <v>MATCH</v>
      </c>
      <c r="H93" s="2"/>
    </row>
    <row r="94" spans="1:8" x14ac:dyDescent="0.3">
      <c r="A94" s="2"/>
      <c r="B94" s="38" t="s">
        <v>163</v>
      </c>
      <c r="C94" s="38" t="s">
        <v>296</v>
      </c>
      <c r="D94" s="35">
        <f>IFERROR(SUMIFS('BS Balances'!G:G,'BS Balances'!B:B,B94,'BS Balances'!F:F,DATE(2026,3,31)),0)</f>
        <v>6405.24</v>
      </c>
      <c r="E94" s="35">
        <f>IFERROR(_xlfn.XLOOKUP(B94,'Balance Sheet'!B:B,'Balance Sheet'!Q:Q,0),0)</f>
        <v>6405.24</v>
      </c>
      <c r="F94" s="35">
        <f t="shared" si="6"/>
        <v>0</v>
      </c>
      <c r="G94" s="2" t="str">
        <f t="shared" si="7"/>
        <v>MATCH</v>
      </c>
      <c r="H94" s="2"/>
    </row>
    <row r="95" spans="1:8" x14ac:dyDescent="0.3">
      <c r="A95" s="2"/>
      <c r="B95" s="38" t="s">
        <v>545</v>
      </c>
      <c r="C95" s="38" t="s">
        <v>296</v>
      </c>
      <c r="D95" s="35">
        <f>IFERROR(SUMIFS('BS Balances'!G:G,'BS Balances'!B:B,B95,'BS Balances'!F:F,DATE(2026,3,31)),0)</f>
        <v>10854.45</v>
      </c>
      <c r="E95" s="35">
        <f>IFERROR(_xlfn.XLOOKUP(B95,'Balance Sheet'!B:B,'Balance Sheet'!Q:Q,0),0)</f>
        <v>10854.45</v>
      </c>
      <c r="F95" s="35">
        <f t="shared" si="6"/>
        <v>0</v>
      </c>
      <c r="G95" s="2" t="str">
        <f t="shared" si="7"/>
        <v>MATCH</v>
      </c>
      <c r="H95" s="2"/>
    </row>
    <row r="96" spans="1:8" x14ac:dyDescent="0.3">
      <c r="A96" s="2"/>
      <c r="B96" s="38" t="s">
        <v>547</v>
      </c>
      <c r="C96" s="38" t="s">
        <v>296</v>
      </c>
      <c r="D96" s="35">
        <f>IFERROR(SUMIFS('BS Balances'!G:G,'BS Balances'!B:B,B96,'BS Balances'!F:F,DATE(2026,3,31)),0)</f>
        <v>2331.8200000000002</v>
      </c>
      <c r="E96" s="35">
        <f>IFERROR(_xlfn.XLOOKUP(B96,'Balance Sheet'!B:B,'Balance Sheet'!Q:Q,0),0)</f>
        <v>2331.8200000000002</v>
      </c>
      <c r="F96" s="35">
        <f t="shared" si="6"/>
        <v>0</v>
      </c>
      <c r="G96" s="2" t="str">
        <f t="shared" si="7"/>
        <v>MATCH</v>
      </c>
      <c r="H96" s="2"/>
    </row>
    <row r="97" spans="1:8" x14ac:dyDescent="0.3">
      <c r="A97" s="2"/>
      <c r="B97" s="38" t="s">
        <v>169</v>
      </c>
      <c r="C97" s="38" t="s">
        <v>296</v>
      </c>
      <c r="D97" s="35">
        <f>IFERROR(SUMIFS('BS Balances'!G:G,'BS Balances'!B:B,B97,'BS Balances'!F:F,DATE(2026,3,31)),0)</f>
        <v>25047.97</v>
      </c>
      <c r="E97" s="35">
        <f>IFERROR(_xlfn.XLOOKUP(B97,'Balance Sheet'!B:B,'Balance Sheet'!Q:Q,0),0)</f>
        <v>25047.97</v>
      </c>
      <c r="F97" s="35">
        <f t="shared" si="6"/>
        <v>0</v>
      </c>
      <c r="G97" s="2" t="str">
        <f t="shared" si="7"/>
        <v>MATCH</v>
      </c>
      <c r="H97" s="2"/>
    </row>
    <row r="98" spans="1:8" x14ac:dyDescent="0.3">
      <c r="A98" s="2"/>
      <c r="B98" s="38" t="s">
        <v>170</v>
      </c>
      <c r="C98" s="38" t="s">
        <v>296</v>
      </c>
      <c r="D98" s="35">
        <f>IFERROR(SUMIFS('BS Balances'!G:G,'BS Balances'!B:B,B98,'BS Balances'!F:F,DATE(2026,3,31)),0)</f>
        <v>2644.43</v>
      </c>
      <c r="E98" s="35">
        <f>IFERROR(_xlfn.XLOOKUP(B98,'Balance Sheet'!B:B,'Balance Sheet'!Q:Q,0),0)</f>
        <v>2644.43</v>
      </c>
      <c r="F98" s="35">
        <f t="shared" si="6"/>
        <v>0</v>
      </c>
      <c r="G98" s="2" t="str">
        <f t="shared" si="7"/>
        <v>MATCH</v>
      </c>
      <c r="H98" s="2"/>
    </row>
    <row r="99" spans="1:8" x14ac:dyDescent="0.3">
      <c r="A99" s="2"/>
      <c r="B99" s="38" t="s">
        <v>171</v>
      </c>
      <c r="C99" s="38" t="s">
        <v>296</v>
      </c>
      <c r="D99" s="35">
        <f>IFERROR(SUMIFS('BS Balances'!G:G,'BS Balances'!B:B,B99,'BS Balances'!F:F,DATE(2026,3,31)),0)</f>
        <v>1428.13</v>
      </c>
      <c r="E99" s="35">
        <f>IFERROR(_xlfn.XLOOKUP(B99,'Balance Sheet'!B:B,'Balance Sheet'!Q:Q,0),0)</f>
        <v>1428.13</v>
      </c>
      <c r="F99" s="35">
        <f t="shared" si="6"/>
        <v>0</v>
      </c>
      <c r="G99" s="2" t="str">
        <f t="shared" si="7"/>
        <v>MATCH</v>
      </c>
      <c r="H99" s="2"/>
    </row>
    <row r="100" spans="1:8" x14ac:dyDescent="0.3">
      <c r="A100" s="2"/>
      <c r="B100" s="38" t="s">
        <v>173</v>
      </c>
      <c r="C100" s="38" t="s">
        <v>296</v>
      </c>
      <c r="D100" s="35">
        <f>IFERROR(SUMIFS('BS Balances'!G:G,'BS Balances'!B:B,B100,'BS Balances'!F:F,DATE(2026,3,31)),0)</f>
        <v>-116474.02</v>
      </c>
      <c r="E100" s="35">
        <f>IFERROR(_xlfn.XLOOKUP(B100,'Balance Sheet'!B:B,'Balance Sheet'!Q:Q,0),0)</f>
        <v>-116474.02</v>
      </c>
      <c r="F100" s="35">
        <f t="shared" si="6"/>
        <v>0</v>
      </c>
      <c r="G100" s="2" t="str">
        <f t="shared" si="7"/>
        <v>MATCH</v>
      </c>
      <c r="H100" s="2"/>
    </row>
    <row r="101" spans="1:8" x14ac:dyDescent="0.3">
      <c r="A101" s="2"/>
      <c r="B101" s="38" t="s">
        <v>174</v>
      </c>
      <c r="C101" s="38" t="s">
        <v>296</v>
      </c>
      <c r="D101" s="35">
        <f>IFERROR(SUMIFS('BS Balances'!G:G,'BS Balances'!B:B,B101,'BS Balances'!F:F,DATE(2026,3,31)),0)</f>
        <v>2375</v>
      </c>
      <c r="E101" s="35">
        <f>IFERROR(_xlfn.XLOOKUP(B101,'Balance Sheet'!B:B,'Balance Sheet'!Q:Q,0),0)</f>
        <v>2375</v>
      </c>
      <c r="F101" s="35">
        <f t="shared" si="6"/>
        <v>0</v>
      </c>
      <c r="G101" s="2" t="str">
        <f t="shared" si="7"/>
        <v>MATCH</v>
      </c>
      <c r="H101" s="2"/>
    </row>
    <row r="102" spans="1:8" x14ac:dyDescent="0.3">
      <c r="A102" s="2"/>
      <c r="B102" s="38" t="s">
        <v>178</v>
      </c>
      <c r="C102" s="38" t="s">
        <v>296</v>
      </c>
      <c r="D102" s="35">
        <f>IFERROR(SUMIFS('BS Balances'!G:G,'BS Balances'!B:B,B102,'BS Balances'!F:F,DATE(2026,3,31)),0)</f>
        <v>90000</v>
      </c>
      <c r="E102" s="35">
        <f>IFERROR(_xlfn.XLOOKUP(B102,'Balance Sheet'!B:B,'Balance Sheet'!Q:Q,0),0)</f>
        <v>90000</v>
      </c>
      <c r="F102" s="35">
        <f t="shared" si="6"/>
        <v>0</v>
      </c>
      <c r="G102" s="2" t="str">
        <f t="shared" si="7"/>
        <v>MATCH</v>
      </c>
      <c r="H102" s="2"/>
    </row>
    <row r="103" spans="1:8" x14ac:dyDescent="0.3">
      <c r="A103" s="2"/>
      <c r="B103" s="38" t="s">
        <v>564</v>
      </c>
      <c r="C103" s="38" t="s">
        <v>296</v>
      </c>
      <c r="D103" s="35">
        <f>IFERROR(SUMIFS('BS Balances'!G:G,'BS Balances'!B:B,B103,'BS Balances'!F:F,DATE(2026,3,31)),0)</f>
        <v>-75000</v>
      </c>
      <c r="E103" s="35">
        <f>IFERROR(_xlfn.XLOOKUP(B103,'Balance Sheet'!B:B,'Balance Sheet'!Q:Q,0),0)</f>
        <v>-75000</v>
      </c>
      <c r="F103" s="35">
        <f t="shared" si="6"/>
        <v>0</v>
      </c>
      <c r="G103" s="2" t="str">
        <f t="shared" si="7"/>
        <v>MATCH</v>
      </c>
      <c r="H103" s="2"/>
    </row>
    <row r="104" spans="1:8" x14ac:dyDescent="0.3">
      <c r="A104" s="2"/>
      <c r="B104" s="38" t="s">
        <v>182</v>
      </c>
      <c r="C104" s="38" t="s">
        <v>296</v>
      </c>
      <c r="D104" s="35">
        <f>IFERROR(SUMIFS('BS Balances'!G:G,'BS Balances'!B:B,B104,'BS Balances'!F:F,DATE(2026,3,31)),0)</f>
        <v>234465.82</v>
      </c>
      <c r="E104" s="35">
        <f>IFERROR(_xlfn.XLOOKUP(B104,'Balance Sheet'!B:B,'Balance Sheet'!Q:Q,0),0)</f>
        <v>234465.82</v>
      </c>
      <c r="F104" s="35">
        <f t="shared" si="6"/>
        <v>0</v>
      </c>
      <c r="G104" s="2" t="str">
        <f t="shared" si="7"/>
        <v>MATCH</v>
      </c>
      <c r="H104" s="2"/>
    </row>
    <row r="105" spans="1:8" x14ac:dyDescent="0.3">
      <c r="A105" s="2"/>
      <c r="B105" s="38" t="s">
        <v>183</v>
      </c>
      <c r="C105" s="38" t="s">
        <v>296</v>
      </c>
      <c r="D105" s="35">
        <f>IFERROR(SUMIFS('BS Balances'!G:G,'BS Balances'!B:B,B105,'BS Balances'!F:F,DATE(2026,3,31)),0)</f>
        <v>-75000</v>
      </c>
      <c r="E105" s="35">
        <f>IFERROR(_xlfn.XLOOKUP(B105,'Balance Sheet'!B:B,'Balance Sheet'!Q:Q,0),0)</f>
        <v>-75000</v>
      </c>
      <c r="F105" s="35">
        <f t="shared" si="6"/>
        <v>0</v>
      </c>
      <c r="G105" s="2" t="str">
        <f t="shared" si="7"/>
        <v>MATCH</v>
      </c>
      <c r="H105" s="2"/>
    </row>
    <row r="106" spans="1:8" x14ac:dyDescent="0.3">
      <c r="A106" s="2"/>
      <c r="B106" s="38" t="s">
        <v>184</v>
      </c>
      <c r="C106" s="38" t="s">
        <v>296</v>
      </c>
      <c r="D106" s="35">
        <f>IFERROR(SUMIFS('BS Balances'!G:G,'BS Balances'!B:B,B106,'BS Balances'!F:F,DATE(2026,3,31)),0)</f>
        <v>234465.81</v>
      </c>
      <c r="E106" s="35">
        <f>IFERROR(_xlfn.XLOOKUP(B106,'Balance Sheet'!B:B,'Balance Sheet'!Q:Q,0),0)</f>
        <v>234465.81</v>
      </c>
      <c r="F106" s="35">
        <f t="shared" si="6"/>
        <v>0</v>
      </c>
      <c r="G106" s="2" t="str">
        <f t="shared" si="7"/>
        <v>MATCH</v>
      </c>
      <c r="H106" s="2"/>
    </row>
  </sheetData>
  <conditionalFormatting sqref="B12:H12 D13:H82 B83:H84 D85:H106">
    <cfRule type="expression" dxfId="15" priority="3">
      <formula>$G12="MATCH"</formula>
    </cfRule>
    <cfRule type="expression" dxfId="14" priority="4">
      <formula>$G12="DIFF"</formula>
    </cfRule>
    <cfRule type="expression" dxfId="13" priority="5">
      <formula>$G12="MISSING"</formula>
    </cfRule>
    <cfRule type="expression" dxfId="12" priority="6">
      <formula>$G12="NO ACTIVITY"</formula>
    </cfRule>
  </conditionalFormatting>
  <conditionalFormatting sqref="D6">
    <cfRule type="cellIs" dxfId="11" priority="1" operator="equal">
      <formula>"✓ PASS"</formula>
    </cfRule>
    <cfRule type="cellIs" dxfId="10" priority="2" operator="equal">
      <formula>"✗ FAIL"</formula>
    </cfRule>
  </conditionalFormatting>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R41"/>
  <sheetViews>
    <sheetView showGridLines="0" workbookViewId="0">
      <pane ySplit="5" topLeftCell="A6" activePane="bottomLeft" state="frozen"/>
      <selection pane="bottomLeft"/>
    </sheetView>
  </sheetViews>
  <sheetFormatPr defaultRowHeight="14.4" x14ac:dyDescent="0.3"/>
  <cols>
    <col min="1" max="1" width="0.6640625" customWidth="1"/>
    <col min="2" max="2" width="41" customWidth="1"/>
    <col min="3" max="18" width="14" customWidth="1"/>
  </cols>
  <sheetData>
    <row r="1" spans="1:18" x14ac:dyDescent="0.3">
      <c r="A1" s="37" t="s">
        <v>386</v>
      </c>
    </row>
    <row r="2" spans="1:18" x14ac:dyDescent="0.3">
      <c r="A2" s="38" t="s">
        <v>557</v>
      </c>
    </row>
    <row r="5" spans="1:18" x14ac:dyDescent="0.3">
      <c r="B5" s="37" t="s">
        <v>555</v>
      </c>
    </row>
    <row r="6" spans="1:18" x14ac:dyDescent="0.3">
      <c r="B6" s="36"/>
      <c r="C6" s="208">
        <v>45658</v>
      </c>
      <c r="D6" s="208">
        <v>45689</v>
      </c>
      <c r="E6" s="208">
        <v>45717</v>
      </c>
      <c r="F6" s="208">
        <v>45748</v>
      </c>
      <c r="G6" s="208">
        <v>45778</v>
      </c>
      <c r="H6" s="208">
        <v>45809</v>
      </c>
      <c r="I6" s="208">
        <v>45839</v>
      </c>
      <c r="J6" s="208">
        <v>45870</v>
      </c>
      <c r="K6" s="208">
        <v>45901</v>
      </c>
      <c r="L6" s="208">
        <v>45931</v>
      </c>
      <c r="M6" s="208">
        <v>45962</v>
      </c>
      <c r="N6" s="208">
        <v>45992</v>
      </c>
      <c r="O6" s="208">
        <v>46023</v>
      </c>
      <c r="P6" s="208">
        <v>46054</v>
      </c>
      <c r="Q6" s="208">
        <v>46082</v>
      </c>
      <c r="R6" s="36" t="s">
        <v>33</v>
      </c>
    </row>
    <row r="7" spans="1:18" x14ac:dyDescent="0.3">
      <c r="B7" t="s">
        <v>208</v>
      </c>
      <c r="C7" s="137">
        <f>SUMIFS('IS GL Summary'!$F:$F,'IS GL Summary'!$H:$H,"Revenue",'IS GL Summary'!$B:$B,DATE(2025,1,31))</f>
        <v>80694.5</v>
      </c>
      <c r="D7" s="137">
        <f>SUMIFS('IS GL Summary'!$F:$F,'IS GL Summary'!$H:$H,"Revenue",'IS GL Summary'!$B:$B,DATE(2025,2,28))</f>
        <v>183979.81</v>
      </c>
      <c r="E7" s="137">
        <f>SUMIFS('IS GL Summary'!$F:$F,'IS GL Summary'!$H:$H,"Revenue",'IS GL Summary'!$B:$B,DATE(2025,3,31))</f>
        <v>199136.30000000002</v>
      </c>
      <c r="F7" s="137">
        <f>SUMIFS('IS GL Summary'!$F:$F,'IS GL Summary'!$H:$H,"Revenue",'IS GL Summary'!$B:$B,DATE(2025,4,30))</f>
        <v>177061.40000000002</v>
      </c>
      <c r="G7" s="137">
        <f>SUMIFS('IS GL Summary'!$F:$F,'IS GL Summary'!$H:$H,"Revenue",'IS GL Summary'!$B:$B,DATE(2025,5,31))</f>
        <v>183743.63</v>
      </c>
      <c r="H7" s="137">
        <f>SUMIFS('IS GL Summary'!$F:$F,'IS GL Summary'!$H:$H,"Revenue",'IS GL Summary'!$B:$B,DATE(2025,6,30))</f>
        <v>186888.96000000002</v>
      </c>
      <c r="I7" s="137">
        <f>SUMIFS('IS GL Summary'!$F:$F,'IS GL Summary'!$H:$H,"Revenue",'IS GL Summary'!$B:$B,DATE(2025,7,31))</f>
        <v>94116.22</v>
      </c>
      <c r="J7" s="137">
        <f>SUMIFS('IS GL Summary'!$F:$F,'IS GL Summary'!$H:$H,"Revenue",'IS GL Summary'!$B:$B,DATE(2025,8,31))</f>
        <v>166580.80000000002</v>
      </c>
      <c r="K7" s="137">
        <f>SUMIFS('IS GL Summary'!$F:$F,'IS GL Summary'!$H:$H,"Revenue",'IS GL Summary'!$B:$B,DATE(2025,9,30))</f>
        <v>195588.2</v>
      </c>
      <c r="L7" s="137">
        <f>SUMIFS('IS GL Summary'!$F:$F,'IS GL Summary'!$H:$H,"Revenue",'IS GL Summary'!$B:$B,DATE(2025,10,31))</f>
        <v>166001.76999999999</v>
      </c>
      <c r="M7" s="137">
        <f>SUMIFS('IS GL Summary'!$F:$F,'IS GL Summary'!$H:$H,"Revenue",'IS GL Summary'!$B:$B,DATE(2025,11,30))</f>
        <v>244826.34</v>
      </c>
      <c r="N7" s="137">
        <f>SUMIFS('IS GL Summary'!$F:$F,'IS GL Summary'!$H:$H,"Revenue",'IS GL Summary'!$B:$B,DATE(2025,12,31))</f>
        <v>138169.94999999998</v>
      </c>
      <c r="O7" s="137">
        <f>SUMIFS('IS GL Summary'!$F:$F,'IS GL Summary'!$H:$H,"Revenue",'IS GL Summary'!$B:$B,DATE(2026,1,31))</f>
        <v>179268.83000000002</v>
      </c>
      <c r="P7" s="137">
        <f>SUMIFS('IS GL Summary'!$F:$F,'IS GL Summary'!$H:$H,"Revenue",'IS GL Summary'!$B:$B,DATE(2026,2,28))</f>
        <v>149131.45000000001</v>
      </c>
      <c r="Q7" s="137">
        <f>SUMIFS('IS GL Summary'!$F:$F,'IS GL Summary'!$H:$H,"Revenue",'IS GL Summary'!$B:$B,DATE(2026,3,31))</f>
        <v>131483.14000000001</v>
      </c>
      <c r="R7" s="40">
        <f>SUM(C7:P7)</f>
        <v>2345188.16</v>
      </c>
    </row>
    <row r="8" spans="1:18" x14ac:dyDescent="0.3">
      <c r="B8" t="s">
        <v>211</v>
      </c>
      <c r="C8" s="137">
        <f>SUMIFS('IS GL Summary'!$F:$F,'IS GL Summary'!$H:$H,"COS",'IS GL Summary'!$B:$B,DATE(2025,1,31))</f>
        <v>93161.710000000021</v>
      </c>
      <c r="D8" s="137">
        <f>SUMIFS('IS GL Summary'!$F:$F,'IS GL Summary'!$H:$H,"COS",'IS GL Summary'!$B:$B,DATE(2025,2,28))</f>
        <v>93435.12000000001</v>
      </c>
      <c r="E8" s="137">
        <f>SUMIFS('IS GL Summary'!$F:$F,'IS GL Summary'!$H:$H,"COS",'IS GL Summary'!$B:$B,DATE(2025,3,31))</f>
        <v>74035.860000000015</v>
      </c>
      <c r="F8" s="137">
        <f>SUMIFS('IS GL Summary'!$F:$F,'IS GL Summary'!$H:$H,"COS",'IS GL Summary'!$B:$B,DATE(2025,4,30))</f>
        <v>120981.31000000001</v>
      </c>
      <c r="G8" s="137">
        <f>SUMIFS('IS GL Summary'!$F:$F,'IS GL Summary'!$H:$H,"COS",'IS GL Summary'!$B:$B,DATE(2025,5,31))</f>
        <v>87744.53</v>
      </c>
      <c r="H8" s="137">
        <f>SUMIFS('IS GL Summary'!$F:$F,'IS GL Summary'!$H:$H,"COS",'IS GL Summary'!$B:$B,DATE(2025,6,30))</f>
        <v>83448.91</v>
      </c>
      <c r="I8" s="137">
        <f>SUMIFS('IS GL Summary'!$F:$F,'IS GL Summary'!$H:$H,"COS",'IS GL Summary'!$B:$B,DATE(2025,7,31))</f>
        <v>142455.24</v>
      </c>
      <c r="J8" s="137">
        <f>SUMIFS('IS GL Summary'!$F:$F,'IS GL Summary'!$H:$H,"COS",'IS GL Summary'!$B:$B,DATE(2025,8,31))</f>
        <v>78718.429999999978</v>
      </c>
      <c r="K8" s="137">
        <f>SUMIFS('IS GL Summary'!$F:$F,'IS GL Summary'!$H:$H,"COS",'IS GL Summary'!$B:$B,DATE(2025,9,30))</f>
        <v>71490.64</v>
      </c>
      <c r="L8" s="137">
        <f>SUMIFS('IS GL Summary'!$F:$F,'IS GL Summary'!$H:$H,"COS",'IS GL Summary'!$B:$B,DATE(2025,10,31))</f>
        <v>101988.60999999999</v>
      </c>
      <c r="M8" s="137">
        <f>SUMIFS('IS GL Summary'!$F:$F,'IS GL Summary'!$H:$H,"COS",'IS GL Summary'!$B:$B,DATE(2025,11,30))</f>
        <v>70728.14</v>
      </c>
      <c r="N8" s="137">
        <f>SUMIFS('IS GL Summary'!$F:$F,'IS GL Summary'!$H:$H,"COS",'IS GL Summary'!$B:$B,DATE(2025,12,31))</f>
        <v>72289.180000000008</v>
      </c>
      <c r="O8" s="137">
        <f>SUMIFS('IS GL Summary'!$F:$F,'IS GL Summary'!$H:$H,"COS",'IS GL Summary'!$B:$B,DATE(2026,1,31))</f>
        <v>64585.39</v>
      </c>
      <c r="P8" s="137">
        <f>SUMIFS('IS GL Summary'!$F:$F,'IS GL Summary'!$H:$H,"COS",'IS GL Summary'!$B:$B,DATE(2026,2,28))</f>
        <v>53446.609999999993</v>
      </c>
      <c r="Q8" s="137">
        <f>SUMIFS('IS GL Summary'!$F:$F,'IS GL Summary'!$H:$H,"COS",'IS GL Summary'!$B:$B,DATE(2026,3,31))</f>
        <v>56734.670000000006</v>
      </c>
      <c r="R8" s="40">
        <f>SUM(C8:P8)</f>
        <v>1208509.68</v>
      </c>
    </row>
    <row r="9" spans="1:18" x14ac:dyDescent="0.3">
      <c r="B9" t="s">
        <v>214</v>
      </c>
      <c r="C9" s="137">
        <f>SUMIFS('IS GL Summary'!$F:$F,'IS GL Summary'!$H:$H,"Sales &amp; Marketing",'IS GL Summary'!$B:$B,DATE(2025,1,31))</f>
        <v>0</v>
      </c>
      <c r="D9" s="137">
        <f>SUMIFS('IS GL Summary'!$F:$F,'IS GL Summary'!$H:$H,"Sales &amp; Marketing",'IS GL Summary'!$B:$B,DATE(2025,2,28))</f>
        <v>0</v>
      </c>
      <c r="E9" s="137">
        <f>SUMIFS('IS GL Summary'!$F:$F,'IS GL Summary'!$H:$H,"Sales &amp; Marketing",'IS GL Summary'!$B:$B,DATE(2025,3,31))</f>
        <v>0</v>
      </c>
      <c r="F9" s="137">
        <f>SUMIFS('IS GL Summary'!$F:$F,'IS GL Summary'!$H:$H,"Sales &amp; Marketing",'IS GL Summary'!$B:$B,DATE(2025,4,30))</f>
        <v>0</v>
      </c>
      <c r="G9" s="137">
        <f>SUMIFS('IS GL Summary'!$F:$F,'IS GL Summary'!$H:$H,"Sales &amp; Marketing",'IS GL Summary'!$B:$B,DATE(2025,5,31))</f>
        <v>0</v>
      </c>
      <c r="H9" s="137">
        <f>SUMIFS('IS GL Summary'!$F:$F,'IS GL Summary'!$H:$H,"Sales &amp; Marketing",'IS GL Summary'!$B:$B,DATE(2025,6,30))</f>
        <v>0</v>
      </c>
      <c r="I9" s="137">
        <f>SUMIFS('IS GL Summary'!$F:$F,'IS GL Summary'!$H:$H,"Sales &amp; Marketing",'IS GL Summary'!$B:$B,DATE(2025,7,31))</f>
        <v>0</v>
      </c>
      <c r="J9" s="137">
        <f>SUMIFS('IS GL Summary'!$F:$F,'IS GL Summary'!$H:$H,"Sales &amp; Marketing",'IS GL Summary'!$B:$B,DATE(2025,8,31))</f>
        <v>0</v>
      </c>
      <c r="K9" s="137">
        <f>SUMIFS('IS GL Summary'!$F:$F,'IS GL Summary'!$H:$H,"Sales &amp; Marketing",'IS GL Summary'!$B:$B,DATE(2025,9,30))</f>
        <v>0</v>
      </c>
      <c r="L9" s="137">
        <f>SUMIFS('IS GL Summary'!$F:$F,'IS GL Summary'!$H:$H,"Sales &amp; Marketing",'IS GL Summary'!$B:$B,DATE(2025,10,31))</f>
        <v>0</v>
      </c>
      <c r="M9" s="137">
        <f>SUMIFS('IS GL Summary'!$F:$F,'IS GL Summary'!$H:$H,"Sales &amp; Marketing",'IS GL Summary'!$B:$B,DATE(2025,11,30))</f>
        <v>0</v>
      </c>
      <c r="N9" s="137">
        <f>SUMIFS('IS GL Summary'!$F:$F,'IS GL Summary'!$H:$H,"Sales &amp; Marketing",'IS GL Summary'!$B:$B,DATE(2025,12,31))</f>
        <v>0</v>
      </c>
      <c r="O9" s="137">
        <f>SUMIFS('IS GL Summary'!$F:$F,'IS GL Summary'!$H:$H,"Sales &amp; Marketing",'IS GL Summary'!$B:$B,DATE(2026,1,31))</f>
        <v>0</v>
      </c>
      <c r="P9" s="137">
        <f>SUMIFS('IS GL Summary'!$F:$F,'IS GL Summary'!$H:$H,"Sales &amp; Marketing",'IS GL Summary'!$B:$B,DATE(2026,2,28))</f>
        <v>0</v>
      </c>
      <c r="Q9" s="137">
        <f>SUMIFS('IS GL Summary'!$F:$F,'IS GL Summary'!$H:$H,"Sales &amp; Marketing",'IS GL Summary'!$B:$B,DATE(2026,3,31))</f>
        <v>0</v>
      </c>
      <c r="R9" s="40">
        <f>SUM(C9:P9)</f>
        <v>0</v>
      </c>
    </row>
    <row r="10" spans="1:18" x14ac:dyDescent="0.3">
      <c r="B10" t="s">
        <v>216</v>
      </c>
      <c r="C10" s="137">
        <f>SUMIFS('IS GL Summary'!$F:$F,'IS GL Summary'!$H:$H,"Operating Expenses",'IS GL Summary'!$B:$B,DATE(2025,1,31))</f>
        <v>70401.97</v>
      </c>
      <c r="D10" s="137">
        <f>SUMIFS('IS GL Summary'!$F:$F,'IS GL Summary'!$H:$H,"Operating Expenses",'IS GL Summary'!$B:$B,DATE(2025,2,28))</f>
        <v>58495.96</v>
      </c>
      <c r="E10" s="137">
        <f>SUMIFS('IS GL Summary'!$F:$F,'IS GL Summary'!$H:$H,"Operating Expenses",'IS GL Summary'!$B:$B,DATE(2025,3,31))</f>
        <v>56977.459999999992</v>
      </c>
      <c r="F10" s="137">
        <f>SUMIFS('IS GL Summary'!$F:$F,'IS GL Summary'!$H:$H,"Operating Expenses",'IS GL Summary'!$B:$B,DATE(2025,4,30))</f>
        <v>51331.30999999999</v>
      </c>
      <c r="G10" s="137">
        <f>SUMIFS('IS GL Summary'!$F:$F,'IS GL Summary'!$H:$H,"Operating Expenses",'IS GL Summary'!$B:$B,DATE(2025,5,31))</f>
        <v>70543.989999999991</v>
      </c>
      <c r="H10" s="137">
        <f>SUMIFS('IS GL Summary'!$F:$F,'IS GL Summary'!$H:$H,"Operating Expenses",'IS GL Summary'!$B:$B,DATE(2025,6,30))</f>
        <v>66320.75999999998</v>
      </c>
      <c r="I10" s="137">
        <f>SUMIFS('IS GL Summary'!$F:$F,'IS GL Summary'!$H:$H,"Operating Expenses",'IS GL Summary'!$B:$B,DATE(2025,7,31))</f>
        <v>70523.759999999995</v>
      </c>
      <c r="J10" s="137">
        <f>SUMIFS('IS GL Summary'!$F:$F,'IS GL Summary'!$H:$H,"Operating Expenses",'IS GL Summary'!$B:$B,DATE(2025,8,31))</f>
        <v>76565.309999999983</v>
      </c>
      <c r="K10" s="137">
        <f>SUMIFS('IS GL Summary'!$F:$F,'IS GL Summary'!$H:$H,"Operating Expenses",'IS GL Summary'!$B:$B,DATE(2025,9,30))</f>
        <v>54961.450000000004</v>
      </c>
      <c r="L10" s="137">
        <f>SUMIFS('IS GL Summary'!$F:$F,'IS GL Summary'!$H:$H,"Operating Expenses",'IS GL Summary'!$B:$B,DATE(2025,10,31))</f>
        <v>66014.559999999998</v>
      </c>
      <c r="M10" s="137">
        <f>SUMIFS('IS GL Summary'!$F:$F,'IS GL Summary'!$H:$H,"Operating Expenses",'IS GL Summary'!$B:$B,DATE(2025,11,30))</f>
        <v>85499.11000000003</v>
      </c>
      <c r="N10" s="137">
        <f>SUMIFS('IS GL Summary'!$F:$F,'IS GL Summary'!$H:$H,"Operating Expenses",'IS GL Summary'!$B:$B,DATE(2025,12,31))</f>
        <v>90566.64</v>
      </c>
      <c r="O10" s="137">
        <f>SUMIFS('IS GL Summary'!$F:$F,'IS GL Summary'!$H:$H,"Operating Expenses",'IS GL Summary'!$B:$B,DATE(2026,1,31))</f>
        <v>92649.939999999988</v>
      </c>
      <c r="P10" s="137">
        <f>SUMIFS('IS GL Summary'!$F:$F,'IS GL Summary'!$H:$H,"Operating Expenses",'IS GL Summary'!$B:$B,DATE(2026,2,28))</f>
        <v>78456.070000000007</v>
      </c>
      <c r="Q10" s="137">
        <f>SUMIFS('IS GL Summary'!$F:$F,'IS GL Summary'!$H:$H,"Operating Expenses",'IS GL Summary'!$B:$B,DATE(2026,3,31))</f>
        <v>79237.239999999991</v>
      </c>
      <c r="R10" s="40">
        <f>SUM(C10:P10)</f>
        <v>989308.29</v>
      </c>
    </row>
    <row r="11" spans="1:18" x14ac:dyDescent="0.3">
      <c r="B11" t="s">
        <v>209</v>
      </c>
      <c r="C11" s="137">
        <f>SUMIFS('IS GL Summary'!$F:$F,'IS GL Summary'!$H:$H,"Other Income",'IS GL Summary'!$B:$B,DATE(2025,1,31))</f>
        <v>0</v>
      </c>
      <c r="D11" s="137">
        <f>SUMIFS('IS GL Summary'!$F:$F,'IS GL Summary'!$H:$H,"Other Income",'IS GL Summary'!$B:$B,DATE(2025,2,28))</f>
        <v>0</v>
      </c>
      <c r="E11" s="137">
        <f>SUMIFS('IS GL Summary'!$F:$F,'IS GL Summary'!$H:$H,"Other Income",'IS GL Summary'!$B:$B,DATE(2025,3,31))</f>
        <v>0</v>
      </c>
      <c r="F11" s="137">
        <f>SUMIFS('IS GL Summary'!$F:$F,'IS GL Summary'!$H:$H,"Other Income",'IS GL Summary'!$B:$B,DATE(2025,4,30))</f>
        <v>0</v>
      </c>
      <c r="G11" s="137">
        <f>SUMIFS('IS GL Summary'!$F:$F,'IS GL Summary'!$H:$H,"Other Income",'IS GL Summary'!$B:$B,DATE(2025,5,31))</f>
        <v>0</v>
      </c>
      <c r="H11" s="137">
        <f>SUMIFS('IS GL Summary'!$F:$F,'IS GL Summary'!$H:$H,"Other Income",'IS GL Summary'!$B:$B,DATE(2025,6,30))</f>
        <v>0</v>
      </c>
      <c r="I11" s="137">
        <f>SUMIFS('IS GL Summary'!$F:$F,'IS GL Summary'!$H:$H,"Other Income",'IS GL Summary'!$B:$B,DATE(2025,7,31))</f>
        <v>0</v>
      </c>
      <c r="J11" s="137">
        <f>SUMIFS('IS GL Summary'!$F:$F,'IS GL Summary'!$H:$H,"Other Income",'IS GL Summary'!$B:$B,DATE(2025,8,31))</f>
        <v>0</v>
      </c>
      <c r="K11" s="137">
        <f>SUMIFS('IS GL Summary'!$F:$F,'IS GL Summary'!$H:$H,"Other Income",'IS GL Summary'!$B:$B,DATE(2025,9,30))</f>
        <v>0</v>
      </c>
      <c r="L11" s="137">
        <f>SUMIFS('IS GL Summary'!$F:$F,'IS GL Summary'!$H:$H,"Other Income",'IS GL Summary'!$B:$B,DATE(2025,10,31))</f>
        <v>0</v>
      </c>
      <c r="M11" s="137">
        <f>SUMIFS('IS GL Summary'!$F:$F,'IS GL Summary'!$H:$H,"Other Income",'IS GL Summary'!$B:$B,DATE(2025,11,30))</f>
        <v>0</v>
      </c>
      <c r="N11" s="137">
        <f>SUMIFS('IS GL Summary'!$F:$F,'IS GL Summary'!$H:$H,"Other Income",'IS GL Summary'!$B:$B,DATE(2025,12,31))</f>
        <v>0</v>
      </c>
      <c r="O11" s="137">
        <f>SUMIFS('IS GL Summary'!$F:$F,'IS GL Summary'!$H:$H,"Other Income",'IS GL Summary'!$B:$B,DATE(2026,1,31))</f>
        <v>0</v>
      </c>
      <c r="P11" s="137">
        <f>SUMIFS('IS GL Summary'!$F:$F,'IS GL Summary'!$H:$H,"Other Income",'IS GL Summary'!$B:$B,DATE(2026,2,28))</f>
        <v>0</v>
      </c>
      <c r="Q11" s="137">
        <f>SUMIFS('IS GL Summary'!$F:$F,'IS GL Summary'!$H:$H,"Other Income",'IS GL Summary'!$B:$B,DATE(2026,3,31))</f>
        <v>0</v>
      </c>
      <c r="R11" s="40">
        <f>SUM(C11:P11)</f>
        <v>0</v>
      </c>
    </row>
    <row r="12" spans="1:18" x14ac:dyDescent="0.3">
      <c r="B12" s="37" t="s">
        <v>12</v>
      </c>
      <c r="C12" s="41">
        <f t="shared" ref="C12:R12" si="0">C7+C11-(C8+C9+C10)</f>
        <v>-82869.180000000022</v>
      </c>
      <c r="D12" s="41">
        <f t="shared" si="0"/>
        <v>32048.729999999981</v>
      </c>
      <c r="E12" s="41">
        <f t="shared" si="0"/>
        <v>68122.98000000001</v>
      </c>
      <c r="F12" s="41">
        <f t="shared" si="0"/>
        <v>4748.7800000000279</v>
      </c>
      <c r="G12" s="41">
        <f t="shared" si="0"/>
        <v>25455.110000000015</v>
      </c>
      <c r="H12" s="41">
        <f t="shared" si="0"/>
        <v>37119.290000000037</v>
      </c>
      <c r="I12" s="41">
        <f t="shared" si="0"/>
        <v>-118862.78</v>
      </c>
      <c r="J12" s="41">
        <f t="shared" si="0"/>
        <v>11297.060000000056</v>
      </c>
      <c r="K12" s="41">
        <f t="shared" si="0"/>
        <v>69136.110000000015</v>
      </c>
      <c r="L12" s="41">
        <f t="shared" si="0"/>
        <v>-2001.3999999999942</v>
      </c>
      <c r="M12" s="41">
        <f t="shared" si="0"/>
        <v>88599.089999999967</v>
      </c>
      <c r="N12" s="41">
        <f t="shared" si="0"/>
        <v>-24685.870000000024</v>
      </c>
      <c r="O12" s="41">
        <f t="shared" si="0"/>
        <v>22033.500000000029</v>
      </c>
      <c r="P12" s="41">
        <f t="shared" si="0"/>
        <v>17228.770000000019</v>
      </c>
      <c r="Q12" s="41">
        <f t="shared" si="0"/>
        <v>-4488.7699999999895</v>
      </c>
      <c r="R12" s="41">
        <f t="shared" si="0"/>
        <v>147370.19000000041</v>
      </c>
    </row>
    <row r="13" spans="1:18" x14ac:dyDescent="0.3">
      <c r="B13" s="42" t="s">
        <v>231</v>
      </c>
      <c r="C13" s="43">
        <f>'P&amp;L'!C106</f>
        <v>-82869.179999999993</v>
      </c>
      <c r="D13" s="43">
        <f>'P&amp;L'!D106</f>
        <v>32048.73</v>
      </c>
      <c r="E13" s="43">
        <f>'P&amp;L'!E106</f>
        <v>68122.98</v>
      </c>
      <c r="F13" s="43">
        <f>'P&amp;L'!F106</f>
        <v>4748.78</v>
      </c>
      <c r="G13" s="43">
        <f>'P&amp;L'!G106</f>
        <v>25455.11</v>
      </c>
      <c r="H13" s="43">
        <f>'P&amp;L'!H106</f>
        <v>37119.29</v>
      </c>
      <c r="I13" s="43">
        <f>'P&amp;L'!I106</f>
        <v>-118862.78</v>
      </c>
      <c r="J13" s="43">
        <f>'P&amp;L'!J106</f>
        <v>11297.06</v>
      </c>
      <c r="K13" s="43">
        <f>'P&amp;L'!K106</f>
        <v>69136.11</v>
      </c>
      <c r="L13" s="43">
        <f>'P&amp;L'!L106</f>
        <v>-2001.4</v>
      </c>
      <c r="M13" s="43">
        <f>'P&amp;L'!M106</f>
        <v>88599.09</v>
      </c>
      <c r="N13" s="43">
        <f>'P&amp;L'!N106</f>
        <v>-24685.87</v>
      </c>
      <c r="O13" s="43">
        <f>'P&amp;L'!O106</f>
        <v>22033.5</v>
      </c>
      <c r="P13" s="43">
        <f>'P&amp;L'!P106</f>
        <v>17228.77</v>
      </c>
      <c r="Q13" s="43">
        <f>'P&amp;L'!Q106</f>
        <v>-4488.7700000000004</v>
      </c>
      <c r="R13" s="43">
        <f>'P&amp;L'!R106</f>
        <v>142881.42000000001</v>
      </c>
    </row>
    <row r="14" spans="1:18" x14ac:dyDescent="0.3">
      <c r="B14" s="37" t="s">
        <v>134</v>
      </c>
      <c r="C14" s="44">
        <f t="shared" ref="C14:R14" si="1">C12-C13</f>
        <v>0</v>
      </c>
      <c r="D14" s="44">
        <f t="shared" si="1"/>
        <v>0</v>
      </c>
      <c r="E14" s="44">
        <f t="shared" si="1"/>
        <v>0</v>
      </c>
      <c r="F14" s="44">
        <f t="shared" si="1"/>
        <v>2.8194335754960775E-11</v>
      </c>
      <c r="G14" s="44">
        <f t="shared" si="1"/>
        <v>0</v>
      </c>
      <c r="H14" s="44">
        <f t="shared" si="1"/>
        <v>0</v>
      </c>
      <c r="I14" s="44">
        <f t="shared" si="1"/>
        <v>0</v>
      </c>
      <c r="J14" s="44">
        <f t="shared" si="1"/>
        <v>5.6388671509921551E-11</v>
      </c>
      <c r="K14" s="44">
        <f t="shared" si="1"/>
        <v>0</v>
      </c>
      <c r="L14" s="44">
        <f t="shared" si="1"/>
        <v>5.9117155615240335E-12</v>
      </c>
      <c r="M14" s="44">
        <f t="shared" si="1"/>
        <v>0</v>
      </c>
      <c r="N14" s="44">
        <f t="shared" si="1"/>
        <v>0</v>
      </c>
      <c r="O14" s="44">
        <f t="shared" si="1"/>
        <v>2.9103830456733704E-11</v>
      </c>
      <c r="P14" s="44">
        <f t="shared" si="1"/>
        <v>0</v>
      </c>
      <c r="Q14" s="44">
        <f t="shared" si="1"/>
        <v>1.0913936421275139E-11</v>
      </c>
      <c r="R14" s="44">
        <f t="shared" si="1"/>
        <v>4488.770000000397</v>
      </c>
    </row>
    <row r="16" spans="1:18" x14ac:dyDescent="0.3">
      <c r="B16" s="37" t="s">
        <v>556</v>
      </c>
    </row>
    <row r="17" spans="2:17" x14ac:dyDescent="0.3">
      <c r="B17" s="36"/>
      <c r="C17" s="208">
        <v>45658</v>
      </c>
      <c r="D17" s="208">
        <v>45689</v>
      </c>
      <c r="E17" s="208">
        <v>45717</v>
      </c>
      <c r="F17" s="208">
        <v>45748</v>
      </c>
      <c r="G17" s="208">
        <v>45778</v>
      </c>
      <c r="H17" s="208">
        <v>45809</v>
      </c>
      <c r="I17" s="208">
        <v>45839</v>
      </c>
      <c r="J17" s="208">
        <v>45870</v>
      </c>
      <c r="K17" s="208">
        <v>45901</v>
      </c>
      <c r="L17" s="208">
        <v>45931</v>
      </c>
      <c r="M17" s="208">
        <v>45962</v>
      </c>
      <c r="N17" s="208">
        <v>45992</v>
      </c>
      <c r="O17" s="208">
        <v>46023</v>
      </c>
      <c r="P17" s="208">
        <v>46054</v>
      </c>
      <c r="Q17" s="208">
        <v>46082</v>
      </c>
    </row>
    <row r="18" spans="2:17" x14ac:dyDescent="0.3">
      <c r="B18" t="s">
        <v>137</v>
      </c>
      <c r="C18" s="136">
        <f>SUMIFS('BS Balances'!$G:$G,'BS Balances'!$I:$I,"Current Assets",'BS Balances'!$F:$F,DATE(2025,1,31))</f>
        <v>374278.27</v>
      </c>
      <c r="D18" s="136">
        <f>SUMIFS('BS Balances'!$G:$G,'BS Balances'!$I:$I,"Current Assets",'BS Balances'!$F:$F,DATE(2025,2,28))</f>
        <v>423882.02</v>
      </c>
      <c r="E18" s="136">
        <f>SUMIFS('BS Balances'!$G:$G,'BS Balances'!$I:$I,"Current Assets",'BS Balances'!$F:$F,DATE(2025,3,31))</f>
        <v>794324.66</v>
      </c>
      <c r="F18" s="136">
        <f>SUMIFS('BS Balances'!$G:$G,'BS Balances'!$I:$I,"Current Assets",'BS Balances'!$F:$F,DATE(2025,4,30))</f>
        <v>824000.04</v>
      </c>
      <c r="G18" s="136">
        <f>SUMIFS('BS Balances'!$G:$G,'BS Balances'!$I:$I,"Current Assets",'BS Balances'!$F:$F,DATE(2025,5,31))</f>
        <v>791217.66999999993</v>
      </c>
      <c r="H18" s="136">
        <f>SUMIFS('BS Balances'!$G:$G,'BS Balances'!$I:$I,"Current Assets",'BS Balances'!$F:$F,DATE(2025,6,30))</f>
        <v>787697.21</v>
      </c>
      <c r="I18" s="136">
        <f>SUMIFS('BS Balances'!$G:$G,'BS Balances'!$I:$I,"Current Assets",'BS Balances'!$F:$F,DATE(2025,7,31))</f>
        <v>504476.73</v>
      </c>
      <c r="J18" s="136">
        <f>SUMIFS('BS Balances'!$G:$G,'BS Balances'!$I:$I,"Current Assets",'BS Balances'!$F:$F,DATE(2025,8,31))</f>
        <v>435008.34</v>
      </c>
      <c r="K18" s="136">
        <f>SUMIFS('BS Balances'!$G:$G,'BS Balances'!$I:$I,"Current Assets",'BS Balances'!$F:$F,DATE(2025,9,30))</f>
        <v>505481.72</v>
      </c>
      <c r="L18" s="136">
        <f>SUMIFS('BS Balances'!$G:$G,'BS Balances'!$I:$I,"Current Assets",'BS Balances'!$F:$F,DATE(2025,10,31))</f>
        <v>460594.95000000007</v>
      </c>
      <c r="M18" s="136">
        <f>SUMIFS('BS Balances'!$G:$G,'BS Balances'!$I:$I,"Current Assets",'BS Balances'!$F:$F,DATE(2025,11,30))</f>
        <v>491037.24000000005</v>
      </c>
      <c r="N18" s="136">
        <f>SUMIFS('BS Balances'!$G:$G,'BS Balances'!$I:$I,"Current Assets",'BS Balances'!$F:$F,DATE(2025,12,31))</f>
        <v>403412.94</v>
      </c>
      <c r="O18" s="136">
        <f>SUMIFS('BS Balances'!$G:$G,'BS Balances'!$I:$I,"Current Assets",'BS Balances'!$F:$F,DATE(2026,1,31))</f>
        <v>372704.04000000004</v>
      </c>
      <c r="P18" s="136">
        <f>SUMIFS('BS Balances'!$G:$G,'BS Balances'!$I:$I,"Current Assets",'BS Balances'!$F:$F,DATE(2026,2,28))</f>
        <v>333754.33999999997</v>
      </c>
      <c r="Q18" s="136">
        <f>SUMIFS('BS Balances'!$G:$G,'BS Balances'!$I:$I,"Current Assets",'BS Balances'!$F:$F,DATE(2026,3,31))</f>
        <v>287381.44</v>
      </c>
    </row>
    <row r="19" spans="2:17" x14ac:dyDescent="0.3">
      <c r="B19" t="s">
        <v>234</v>
      </c>
      <c r="C19" s="136">
        <f>SUMIFS('BS Balances'!$G:$G,'BS Balances'!$I:$I,"Fixed Assets",'BS Balances'!$F:$F,DATE(2025,1,31))</f>
        <v>100000</v>
      </c>
      <c r="D19" s="136">
        <f>SUMIFS('BS Balances'!$G:$G,'BS Balances'!$I:$I,"Fixed Assets",'BS Balances'!$F:$F,DATE(2025,2,28))</f>
        <v>100000</v>
      </c>
      <c r="E19" s="136">
        <f>SUMIFS('BS Balances'!$G:$G,'BS Balances'!$I:$I,"Fixed Assets",'BS Balances'!$F:$F,DATE(2025,3,31))</f>
        <v>100000</v>
      </c>
      <c r="F19" s="136">
        <f>SUMIFS('BS Balances'!$G:$G,'BS Balances'!$I:$I,"Fixed Assets",'BS Balances'!$F:$F,DATE(2025,4,30))</f>
        <v>100000</v>
      </c>
      <c r="G19" s="136">
        <f>SUMIFS('BS Balances'!$G:$G,'BS Balances'!$I:$I,"Fixed Assets",'BS Balances'!$F:$F,DATE(2025,5,31))</f>
        <v>100000</v>
      </c>
      <c r="H19" s="136">
        <f>SUMIFS('BS Balances'!$G:$G,'BS Balances'!$I:$I,"Fixed Assets",'BS Balances'!$F:$F,DATE(2025,6,30))</f>
        <v>100000</v>
      </c>
      <c r="I19" s="136">
        <f>SUMIFS('BS Balances'!$G:$G,'BS Balances'!$I:$I,"Fixed Assets",'BS Balances'!$F:$F,DATE(2025,7,31))</f>
        <v>100000</v>
      </c>
      <c r="J19" s="136">
        <f>SUMIFS('BS Balances'!$G:$G,'BS Balances'!$I:$I,"Fixed Assets",'BS Balances'!$F:$F,DATE(2025,8,31))</f>
        <v>100000</v>
      </c>
      <c r="K19" s="136">
        <f>SUMIFS('BS Balances'!$G:$G,'BS Balances'!$I:$I,"Fixed Assets",'BS Balances'!$F:$F,DATE(2025,9,30))</f>
        <v>100000</v>
      </c>
      <c r="L19" s="136">
        <f>SUMIFS('BS Balances'!$G:$G,'BS Balances'!$I:$I,"Fixed Assets",'BS Balances'!$F:$F,DATE(2025,10,31))</f>
        <v>100000</v>
      </c>
      <c r="M19" s="136">
        <f>SUMIFS('BS Balances'!$G:$G,'BS Balances'!$I:$I,"Fixed Assets",'BS Balances'!$F:$F,DATE(2025,11,30))</f>
        <v>100000</v>
      </c>
      <c r="N19" s="136">
        <f>SUMIFS('BS Balances'!$G:$G,'BS Balances'!$I:$I,"Fixed Assets",'BS Balances'!$F:$F,DATE(2025,12,31))</f>
        <v>100000</v>
      </c>
      <c r="O19" s="136">
        <f>SUMIFS('BS Balances'!$G:$G,'BS Balances'!$I:$I,"Fixed Assets",'BS Balances'!$F:$F,DATE(2026,1,31))</f>
        <v>100000</v>
      </c>
      <c r="P19" s="136">
        <f>SUMIFS('BS Balances'!$G:$G,'BS Balances'!$I:$I,"Fixed Assets",'BS Balances'!$F:$F,DATE(2026,2,28))</f>
        <v>100000</v>
      </c>
      <c r="Q19" s="136">
        <f>SUMIFS('BS Balances'!$G:$G,'BS Balances'!$I:$I,"Fixed Assets",'BS Balances'!$F:$F,DATE(2026,3,31))</f>
        <v>100000</v>
      </c>
    </row>
    <row r="20" spans="2:17" x14ac:dyDescent="0.3">
      <c r="B20" t="s">
        <v>154</v>
      </c>
      <c r="C20" s="136">
        <f>SUMIFS('BS Balances'!$G:$G,'BS Balances'!$I:$I,"Other Assets",'BS Balances'!$F:$F,DATE(2025,1,31))</f>
        <v>0</v>
      </c>
      <c r="D20" s="136">
        <f>SUMIFS('BS Balances'!$G:$G,'BS Balances'!$I:$I,"Other Assets",'BS Balances'!$F:$F,DATE(2025,2,28))</f>
        <v>0</v>
      </c>
      <c r="E20" s="136">
        <f>SUMIFS('BS Balances'!$G:$G,'BS Balances'!$I:$I,"Other Assets",'BS Balances'!$F:$F,DATE(2025,3,31))</f>
        <v>0</v>
      </c>
      <c r="F20" s="136">
        <f>SUMIFS('BS Balances'!$G:$G,'BS Balances'!$I:$I,"Other Assets",'BS Balances'!$F:$F,DATE(2025,4,30))</f>
        <v>0</v>
      </c>
      <c r="G20" s="136">
        <f>SUMIFS('BS Balances'!$G:$G,'BS Balances'!$I:$I,"Other Assets",'BS Balances'!$F:$F,DATE(2025,5,31))</f>
        <v>0</v>
      </c>
      <c r="H20" s="136">
        <f>SUMIFS('BS Balances'!$G:$G,'BS Balances'!$I:$I,"Other Assets",'BS Balances'!$F:$F,DATE(2025,6,30))</f>
        <v>0</v>
      </c>
      <c r="I20" s="136">
        <f>SUMIFS('BS Balances'!$G:$G,'BS Balances'!$I:$I,"Other Assets",'BS Balances'!$F:$F,DATE(2025,7,31))</f>
        <v>0</v>
      </c>
      <c r="J20" s="136">
        <f>SUMIFS('BS Balances'!$G:$G,'BS Balances'!$I:$I,"Other Assets",'BS Balances'!$F:$F,DATE(2025,8,31))</f>
        <v>0</v>
      </c>
      <c r="K20" s="136">
        <f>SUMIFS('BS Balances'!$G:$G,'BS Balances'!$I:$I,"Other Assets",'BS Balances'!$F:$F,DATE(2025,9,30))</f>
        <v>0</v>
      </c>
      <c r="L20" s="136">
        <f>SUMIFS('BS Balances'!$G:$G,'BS Balances'!$I:$I,"Other Assets",'BS Balances'!$F:$F,DATE(2025,10,31))</f>
        <v>0</v>
      </c>
      <c r="M20" s="136">
        <f>SUMIFS('BS Balances'!$G:$G,'BS Balances'!$I:$I,"Other Assets",'BS Balances'!$F:$F,DATE(2025,11,30))</f>
        <v>0</v>
      </c>
      <c r="N20" s="136">
        <f>SUMIFS('BS Balances'!$G:$G,'BS Balances'!$I:$I,"Other Assets",'BS Balances'!$F:$F,DATE(2025,12,31))</f>
        <v>0</v>
      </c>
      <c r="O20" s="136">
        <f>SUMIFS('BS Balances'!$G:$G,'BS Balances'!$I:$I,"Other Assets",'BS Balances'!$F:$F,DATE(2026,1,31))</f>
        <v>0</v>
      </c>
      <c r="P20" s="136">
        <f>SUMIFS('BS Balances'!$G:$G,'BS Balances'!$I:$I,"Other Assets",'BS Balances'!$F:$F,DATE(2026,2,28))</f>
        <v>0</v>
      </c>
      <c r="Q20" s="136">
        <f>SUMIFS('BS Balances'!$G:$G,'BS Balances'!$I:$I,"Other Assets",'BS Balances'!$F:$F,DATE(2026,3,31))</f>
        <v>0</v>
      </c>
    </row>
    <row r="21" spans="2:17" x14ac:dyDescent="0.3">
      <c r="B21" s="37" t="s">
        <v>13</v>
      </c>
      <c r="C21" s="41">
        <f t="shared" ref="C21:Q21" si="2">C18+C19+C20</f>
        <v>474278.27</v>
      </c>
      <c r="D21" s="41">
        <f t="shared" si="2"/>
        <v>523882.02</v>
      </c>
      <c r="E21" s="41">
        <f t="shared" si="2"/>
        <v>894324.66</v>
      </c>
      <c r="F21" s="41">
        <f t="shared" si="2"/>
        <v>924000.04</v>
      </c>
      <c r="G21" s="41">
        <f t="shared" si="2"/>
        <v>891217.66999999993</v>
      </c>
      <c r="H21" s="41">
        <f t="shared" si="2"/>
        <v>887697.21</v>
      </c>
      <c r="I21" s="41">
        <f t="shared" si="2"/>
        <v>604476.73</v>
      </c>
      <c r="J21" s="41">
        <f t="shared" si="2"/>
        <v>535008.34000000008</v>
      </c>
      <c r="K21" s="41">
        <f t="shared" si="2"/>
        <v>605481.72</v>
      </c>
      <c r="L21" s="41">
        <f t="shared" si="2"/>
        <v>560594.95000000007</v>
      </c>
      <c r="M21" s="41">
        <f t="shared" si="2"/>
        <v>591037.24</v>
      </c>
      <c r="N21" s="41">
        <f t="shared" si="2"/>
        <v>503412.94</v>
      </c>
      <c r="O21" s="41">
        <f t="shared" si="2"/>
        <v>472704.04000000004</v>
      </c>
      <c r="P21" s="41">
        <f t="shared" si="2"/>
        <v>433754.33999999997</v>
      </c>
      <c r="Q21" s="41">
        <f t="shared" si="2"/>
        <v>387381.44</v>
      </c>
    </row>
    <row r="22" spans="2:17" x14ac:dyDescent="0.3">
      <c r="B22" s="45" t="s">
        <v>242</v>
      </c>
      <c r="C22" s="43">
        <f>'Balance Sheet'!C32</f>
        <v>474278.27</v>
      </c>
      <c r="D22" s="43">
        <f>'Balance Sheet'!D32</f>
        <v>523882.02</v>
      </c>
      <c r="E22" s="43">
        <f>'Balance Sheet'!E32</f>
        <v>894324.66</v>
      </c>
      <c r="F22" s="43">
        <f>'Balance Sheet'!F32</f>
        <v>924000.04</v>
      </c>
      <c r="G22" s="43">
        <f>'Balance Sheet'!G32</f>
        <v>891217.67</v>
      </c>
      <c r="H22" s="43">
        <f>'Balance Sheet'!H32</f>
        <v>887697.21</v>
      </c>
      <c r="I22" s="43">
        <f>'Balance Sheet'!I32</f>
        <v>604476.73</v>
      </c>
      <c r="J22" s="43">
        <f>'Balance Sheet'!J32</f>
        <v>535008.34</v>
      </c>
      <c r="K22" s="43">
        <f>'Balance Sheet'!K32</f>
        <v>605481.72</v>
      </c>
      <c r="L22" s="43">
        <f>'Balance Sheet'!L32</f>
        <v>560594.94999999995</v>
      </c>
      <c r="M22" s="43">
        <f>'Balance Sheet'!M32</f>
        <v>591037.24</v>
      </c>
      <c r="N22" s="43">
        <f>'Balance Sheet'!N32</f>
        <v>503412.94</v>
      </c>
      <c r="O22" s="43">
        <f>'Balance Sheet'!O32</f>
        <v>472704.04</v>
      </c>
      <c r="P22" s="43">
        <f>'Balance Sheet'!P32</f>
        <v>433754.34</v>
      </c>
      <c r="Q22" s="43">
        <f>'Balance Sheet'!Q32</f>
        <v>387381.44</v>
      </c>
    </row>
    <row r="23" spans="2:17" x14ac:dyDescent="0.3">
      <c r="B23" s="37" t="s">
        <v>134</v>
      </c>
      <c r="C23" s="44">
        <f t="shared" ref="C23:Q23" si="3">C21-C22</f>
        <v>0</v>
      </c>
      <c r="D23" s="44">
        <f t="shared" si="3"/>
        <v>0</v>
      </c>
      <c r="E23" s="44">
        <f t="shared" si="3"/>
        <v>0</v>
      </c>
      <c r="F23" s="44">
        <f t="shared" si="3"/>
        <v>0</v>
      </c>
      <c r="G23" s="44">
        <f t="shared" si="3"/>
        <v>0</v>
      </c>
      <c r="H23" s="44">
        <f t="shared" si="3"/>
        <v>0</v>
      </c>
      <c r="I23" s="44">
        <f t="shared" si="3"/>
        <v>0</v>
      </c>
      <c r="J23" s="44">
        <f t="shared" si="3"/>
        <v>0</v>
      </c>
      <c r="K23" s="44">
        <f t="shared" si="3"/>
        <v>0</v>
      </c>
      <c r="L23" s="44">
        <f t="shared" si="3"/>
        <v>0</v>
      </c>
      <c r="M23" s="44">
        <f t="shared" si="3"/>
        <v>0</v>
      </c>
      <c r="N23" s="44">
        <f t="shared" si="3"/>
        <v>0</v>
      </c>
      <c r="O23" s="44">
        <f t="shared" si="3"/>
        <v>0</v>
      </c>
      <c r="P23" s="44">
        <f t="shared" si="3"/>
        <v>0</v>
      </c>
      <c r="Q23" s="44">
        <f t="shared" si="3"/>
        <v>0</v>
      </c>
    </row>
    <row r="25" spans="2:17" x14ac:dyDescent="0.3">
      <c r="B25" t="s">
        <v>161</v>
      </c>
      <c r="C25" s="136">
        <f>SUMIFS('BS Balances'!$G:$G,'BS Balances'!$I:$I,"Current Liabilities",'BS Balances'!$F:$F,DATE(2025,1,31))</f>
        <v>61388.12</v>
      </c>
      <c r="D25" s="136">
        <f>SUMIFS('BS Balances'!$G:$G,'BS Balances'!$I:$I,"Current Liabilities",'BS Balances'!$F:$F,DATE(2025,2,28))</f>
        <v>79356.44</v>
      </c>
      <c r="E25" s="136">
        <f>SUMIFS('BS Balances'!$G:$G,'BS Balances'!$I:$I,"Current Liabilities",'BS Balances'!$F:$F,DATE(2025,3,31))</f>
        <v>381185.28000000003</v>
      </c>
      <c r="F25" s="136">
        <f>SUMIFS('BS Balances'!$G:$G,'BS Balances'!$I:$I,"Current Liabilities",'BS Balances'!$F:$F,DATE(2025,4,30))</f>
        <v>406127.23</v>
      </c>
      <c r="G25" s="136">
        <f>SUMIFS('BS Balances'!$G:$G,'BS Balances'!$I:$I,"Current Liabilities",'BS Balances'!$F:$F,DATE(2025,5,31))</f>
        <v>348043.85</v>
      </c>
      <c r="H25" s="136">
        <f>SUMIFS('BS Balances'!$G:$G,'BS Balances'!$I:$I,"Current Liabilities",'BS Balances'!$F:$F,DATE(2025,6,30))</f>
        <v>306820.58</v>
      </c>
      <c r="I25" s="136">
        <f>SUMIFS('BS Balances'!$G:$G,'BS Balances'!$I:$I,"Current Liabilities",'BS Balances'!$F:$F,DATE(2025,7,31))</f>
        <v>292721.91999999998</v>
      </c>
      <c r="J25" s="136">
        <f>SUMIFS('BS Balances'!$G:$G,'BS Balances'!$I:$I,"Current Liabilities",'BS Balances'!$F:$F,DATE(2025,8,31))</f>
        <v>212271.3</v>
      </c>
      <c r="K25" s="136">
        <f>SUMIFS('BS Balances'!$G:$G,'BS Balances'!$I:$I,"Current Liabilities",'BS Balances'!$F:$F,DATE(2025,9,30))</f>
        <v>213712.27</v>
      </c>
      <c r="L25" s="136">
        <f>SUMIFS('BS Balances'!$G:$G,'BS Balances'!$I:$I,"Current Liabilities",'BS Balances'!$F:$F,DATE(2025,10,31))</f>
        <v>170854.24000000002</v>
      </c>
      <c r="M25" s="136">
        <f>SUMIFS('BS Balances'!$G:$G,'BS Balances'!$I:$I,"Current Liabilities",'BS Balances'!$F:$F,DATE(2025,11,30))</f>
        <v>114137.36</v>
      </c>
      <c r="N25" s="136">
        <f>SUMIFS('BS Balances'!$G:$G,'BS Balances'!$I:$I,"Current Liabilities",'BS Balances'!$F:$F,DATE(2025,12,31))</f>
        <v>49024.75</v>
      </c>
      <c r="O25" s="136">
        <f>SUMIFS('BS Balances'!$G:$G,'BS Balances'!$I:$I,"Current Liabilities",'BS Balances'!$F:$F,DATE(2026,1,31))</f>
        <v>41738.909999999996</v>
      </c>
      <c r="P25" s="136">
        <f>SUMIFS('BS Balances'!$G:$G,'BS Balances'!$I:$I,"Current Liabilities",'BS Balances'!$F:$F,DATE(2026,2,28))</f>
        <v>-14439.560000000012</v>
      </c>
      <c r="Q25" s="136">
        <f>SUMIFS('BS Balances'!$G:$G,'BS Balances'!$I:$I,"Current Liabilities",'BS Balances'!$F:$F,DATE(2026,3,31))</f>
        <v>-56323.69</v>
      </c>
    </row>
    <row r="26" spans="2:17" x14ac:dyDescent="0.3">
      <c r="B26" t="s">
        <v>238</v>
      </c>
      <c r="C26" s="136">
        <f>SUMIFS('BS Balances'!$G:$G,'BS Balances'!$I:$I,"Long-term Liabilities",'BS Balances'!$F:$F,DATE(2025,1,31))</f>
        <v>90000</v>
      </c>
      <c r="D26" s="136">
        <f>SUMIFS('BS Balances'!$G:$G,'BS Balances'!$I:$I,"Long-term Liabilities",'BS Balances'!$F:$F,DATE(2025,2,28))</f>
        <v>90000</v>
      </c>
      <c r="E26" s="136">
        <f>SUMIFS('BS Balances'!$G:$G,'BS Balances'!$I:$I,"Long-term Liabilities",'BS Balances'!$F:$F,DATE(2025,3,31))</f>
        <v>90000</v>
      </c>
      <c r="F26" s="136">
        <f>SUMIFS('BS Balances'!$G:$G,'BS Balances'!$I:$I,"Long-term Liabilities",'BS Balances'!$F:$F,DATE(2025,4,30))</f>
        <v>90000</v>
      </c>
      <c r="G26" s="136">
        <f>SUMIFS('BS Balances'!$G:$G,'BS Balances'!$I:$I,"Long-term Liabilities",'BS Balances'!$F:$F,DATE(2025,5,31))</f>
        <v>90000</v>
      </c>
      <c r="H26" s="136">
        <f>SUMIFS('BS Balances'!$G:$G,'BS Balances'!$I:$I,"Long-term Liabilities",'BS Balances'!$F:$F,DATE(2025,6,30))</f>
        <v>90000</v>
      </c>
      <c r="I26" s="136">
        <f>SUMIFS('BS Balances'!$G:$G,'BS Balances'!$I:$I,"Long-term Liabilities",'BS Balances'!$F:$F,DATE(2025,7,31))</f>
        <v>90000</v>
      </c>
      <c r="J26" s="136">
        <f>SUMIFS('BS Balances'!$G:$G,'BS Balances'!$I:$I,"Long-term Liabilities",'BS Balances'!$F:$F,DATE(2025,8,31))</f>
        <v>90000</v>
      </c>
      <c r="K26" s="136">
        <f>SUMIFS('BS Balances'!$G:$G,'BS Balances'!$I:$I,"Long-term Liabilities",'BS Balances'!$F:$F,DATE(2025,9,30))</f>
        <v>90000</v>
      </c>
      <c r="L26" s="136">
        <f>SUMIFS('BS Balances'!$G:$G,'BS Balances'!$I:$I,"Long-term Liabilities",'BS Balances'!$F:$F,DATE(2025,10,31))</f>
        <v>90000</v>
      </c>
      <c r="M26" s="136">
        <f>SUMIFS('BS Balances'!$G:$G,'BS Balances'!$I:$I,"Long-term Liabilities",'BS Balances'!$F:$F,DATE(2025,11,30))</f>
        <v>90000</v>
      </c>
      <c r="N26" s="136">
        <f>SUMIFS('BS Balances'!$G:$G,'BS Balances'!$I:$I,"Long-term Liabilities",'BS Balances'!$F:$F,DATE(2025,12,31))</f>
        <v>90000</v>
      </c>
      <c r="O26" s="136">
        <f>SUMIFS('BS Balances'!$G:$G,'BS Balances'!$I:$I,"Long-term Liabilities",'BS Balances'!$F:$F,DATE(2026,1,31))</f>
        <v>90000</v>
      </c>
      <c r="P26" s="136">
        <f>SUMIFS('BS Balances'!$G:$G,'BS Balances'!$I:$I,"Long-term Liabilities",'BS Balances'!$F:$F,DATE(2026,2,28))</f>
        <v>90000</v>
      </c>
      <c r="Q26" s="136">
        <f>SUMIFS('BS Balances'!$G:$G,'BS Balances'!$I:$I,"Long-term Liabilities",'BS Balances'!$F:$F,DATE(2026,3,31))</f>
        <v>90000</v>
      </c>
    </row>
    <row r="27" spans="2:17" x14ac:dyDescent="0.3">
      <c r="B27" s="37" t="s">
        <v>14</v>
      </c>
      <c r="C27" s="41">
        <f t="shared" ref="C27:Q27" si="4">C25+C26</f>
        <v>151388.12</v>
      </c>
      <c r="D27" s="41">
        <f t="shared" si="4"/>
        <v>169356.44</v>
      </c>
      <c r="E27" s="41">
        <f t="shared" si="4"/>
        <v>471185.28</v>
      </c>
      <c r="F27" s="41">
        <f t="shared" si="4"/>
        <v>496127.23</v>
      </c>
      <c r="G27" s="41">
        <f t="shared" si="4"/>
        <v>438043.85</v>
      </c>
      <c r="H27" s="41">
        <f t="shared" si="4"/>
        <v>396820.58</v>
      </c>
      <c r="I27" s="41">
        <f t="shared" si="4"/>
        <v>382721.92</v>
      </c>
      <c r="J27" s="41">
        <f t="shared" si="4"/>
        <v>302271.3</v>
      </c>
      <c r="K27" s="41">
        <f t="shared" si="4"/>
        <v>303712.27</v>
      </c>
      <c r="L27" s="41">
        <f t="shared" si="4"/>
        <v>260854.24000000002</v>
      </c>
      <c r="M27" s="41">
        <f t="shared" si="4"/>
        <v>204137.36</v>
      </c>
      <c r="N27" s="41">
        <f t="shared" si="4"/>
        <v>139024.75</v>
      </c>
      <c r="O27" s="41">
        <f t="shared" si="4"/>
        <v>131738.91</v>
      </c>
      <c r="P27" s="41">
        <f t="shared" si="4"/>
        <v>75560.439999999988</v>
      </c>
      <c r="Q27" s="41">
        <f t="shared" si="4"/>
        <v>33676.31</v>
      </c>
    </row>
    <row r="28" spans="2:17" x14ac:dyDescent="0.3">
      <c r="B28" s="45" t="s">
        <v>243</v>
      </c>
      <c r="C28" s="43">
        <f>'Balance Sheet'!C57</f>
        <v>151388.12</v>
      </c>
      <c r="D28" s="43">
        <f>'Balance Sheet'!D57</f>
        <v>169356.44</v>
      </c>
      <c r="E28" s="43">
        <f>'Balance Sheet'!E57</f>
        <v>471185.28</v>
      </c>
      <c r="F28" s="43">
        <f>'Balance Sheet'!F57</f>
        <v>496127.23</v>
      </c>
      <c r="G28" s="43">
        <f>'Balance Sheet'!G57</f>
        <v>438043.85</v>
      </c>
      <c r="H28" s="43">
        <f>'Balance Sheet'!H57</f>
        <v>396820.58</v>
      </c>
      <c r="I28" s="43">
        <f>'Balance Sheet'!I57</f>
        <v>382721.92</v>
      </c>
      <c r="J28" s="43">
        <f>'Balance Sheet'!J57</f>
        <v>302271.3</v>
      </c>
      <c r="K28" s="43">
        <f>'Balance Sheet'!K57</f>
        <v>303712.27</v>
      </c>
      <c r="L28" s="43">
        <f>'Balance Sheet'!L57</f>
        <v>260854.24</v>
      </c>
      <c r="M28" s="43">
        <f>'Balance Sheet'!M57</f>
        <v>204137.36</v>
      </c>
      <c r="N28" s="43">
        <f>'Balance Sheet'!N57</f>
        <v>139024.75</v>
      </c>
      <c r="O28" s="43">
        <f>'Balance Sheet'!O57</f>
        <v>131738.91</v>
      </c>
      <c r="P28" s="43">
        <f>'Balance Sheet'!P57</f>
        <v>75560.44</v>
      </c>
      <c r="Q28" s="43">
        <f>'Balance Sheet'!Q57</f>
        <v>33676.31</v>
      </c>
    </row>
    <row r="29" spans="2:17" x14ac:dyDescent="0.3">
      <c r="B29" s="37" t="s">
        <v>134</v>
      </c>
      <c r="C29" s="44">
        <f t="shared" ref="C29:Q29" si="5">C27-C28</f>
        <v>0</v>
      </c>
      <c r="D29" s="44">
        <f t="shared" si="5"/>
        <v>0</v>
      </c>
      <c r="E29" s="44">
        <f t="shared" si="5"/>
        <v>0</v>
      </c>
      <c r="F29" s="44">
        <f t="shared" si="5"/>
        <v>0</v>
      </c>
      <c r="G29" s="44">
        <f t="shared" si="5"/>
        <v>0</v>
      </c>
      <c r="H29" s="44">
        <f t="shared" si="5"/>
        <v>0</v>
      </c>
      <c r="I29" s="44">
        <f t="shared" si="5"/>
        <v>0</v>
      </c>
      <c r="J29" s="44">
        <f t="shared" si="5"/>
        <v>0</v>
      </c>
      <c r="K29" s="44">
        <f t="shared" si="5"/>
        <v>0</v>
      </c>
      <c r="L29" s="44">
        <f t="shared" si="5"/>
        <v>0</v>
      </c>
      <c r="M29" s="44">
        <f t="shared" si="5"/>
        <v>0</v>
      </c>
      <c r="N29" s="44">
        <f t="shared" si="5"/>
        <v>0</v>
      </c>
      <c r="O29" s="44">
        <f t="shared" si="5"/>
        <v>0</v>
      </c>
      <c r="P29" s="44">
        <f t="shared" si="5"/>
        <v>0</v>
      </c>
      <c r="Q29" s="44">
        <f t="shared" si="5"/>
        <v>0</v>
      </c>
    </row>
    <row r="31" spans="2:17" x14ac:dyDescent="0.3">
      <c r="B31" t="s">
        <v>180</v>
      </c>
      <c r="C31" s="136">
        <f>SUMIFS('BS Balances'!$G:$G,'BS Balances'!$I:$I,"Equity",'BS Balances'!$F:$F,DATE(2025,1,31))</f>
        <v>405759.33</v>
      </c>
      <c r="D31" s="136">
        <f>SUMIFS('BS Balances'!$G:$G,'BS Balances'!$I:$I,"Equity",'BS Balances'!$F:$F,DATE(2025,2,28))</f>
        <v>405346.03</v>
      </c>
      <c r="E31" s="136">
        <f>SUMIFS('BS Balances'!$G:$G,'BS Balances'!$I:$I,"Equity",'BS Balances'!$F:$F,DATE(2025,3,31))</f>
        <v>405836.85000000003</v>
      </c>
      <c r="F31" s="136">
        <f>SUMIFS('BS Balances'!$G:$G,'BS Balances'!$I:$I,"Equity",'BS Balances'!$F:$F,DATE(2025,4,30))</f>
        <v>405821.5</v>
      </c>
      <c r="G31" s="136">
        <f>SUMIFS('BS Balances'!$G:$G,'BS Balances'!$I:$I,"Equity",'BS Balances'!$F:$F,DATE(2025,5,31))</f>
        <v>405667.4</v>
      </c>
      <c r="H31" s="136">
        <f>SUMIFS('BS Balances'!$G:$G,'BS Balances'!$I:$I,"Equity",'BS Balances'!$F:$F,DATE(2025,6,30))</f>
        <v>406250.92000000004</v>
      </c>
      <c r="I31" s="136">
        <f>SUMIFS('BS Balances'!$G:$G,'BS Balances'!$I:$I,"Equity",'BS Balances'!$F:$F,DATE(2025,7,31))</f>
        <v>255991.88</v>
      </c>
      <c r="J31" s="136">
        <f>SUMIFS('BS Balances'!$G:$G,'BS Balances'!$I:$I,"Equity",'BS Balances'!$F:$F,DATE(2025,8,31))</f>
        <v>255677.05000000002</v>
      </c>
      <c r="K31" s="136">
        <f>SUMIFS('BS Balances'!$G:$G,'BS Balances'!$I:$I,"Equity",'BS Balances'!$F:$F,DATE(2025,9,30))</f>
        <v>255573.35000000003</v>
      </c>
      <c r="L31" s="136">
        <f>SUMIFS('BS Balances'!$G:$G,'BS Balances'!$I:$I,"Equity",'BS Balances'!$F:$F,DATE(2025,10,31))</f>
        <v>255546.01</v>
      </c>
      <c r="M31" s="136">
        <f>SUMIFS('BS Balances'!$G:$G,'BS Balances'!$I:$I,"Equity",'BS Balances'!$F:$F,DATE(2025,11,30))</f>
        <v>254106.09000000003</v>
      </c>
      <c r="N31" s="136">
        <f>SUMIFS('BS Balances'!$G:$G,'BS Balances'!$I:$I,"Equity",'BS Balances'!$F:$F,DATE(2025,12,31))</f>
        <v>256280.27000000002</v>
      </c>
      <c r="O31" s="136">
        <f>SUMIFS('BS Balances'!$G:$G,'BS Balances'!$I:$I,"Equity",'BS Balances'!$F:$F,DATE(2026,1,31))</f>
        <v>318931.63</v>
      </c>
      <c r="P31" s="136">
        <f>SUMIFS('BS Balances'!$G:$G,'BS Balances'!$I:$I,"Equity",'BS Balances'!$F:$F,DATE(2026,2,28))</f>
        <v>318931.63</v>
      </c>
      <c r="Q31" s="136">
        <f>SUMIFS('BS Balances'!$G:$G,'BS Balances'!$I:$I,"Equity",'BS Balances'!$F:$F,DATE(2026,3,31))</f>
        <v>318931.63</v>
      </c>
    </row>
    <row r="32" spans="2:17" x14ac:dyDescent="0.3">
      <c r="B32" s="45" t="s">
        <v>12</v>
      </c>
      <c r="C32" s="43">
        <f>SUMIFS('BS Balances'!$G:$G,'BS Balances'!$B:$B,"Net Income",'BS Balances'!$F:$F,DATE(2025,1,31))</f>
        <v>-82869.179999999993</v>
      </c>
      <c r="D32" s="43">
        <f>SUMIFS('BS Balances'!$G:$G,'BS Balances'!$B:$B,"Net Income",'BS Balances'!$F:$F,DATE(2025,2,28))</f>
        <v>-50820.45</v>
      </c>
      <c r="E32" s="43">
        <f>SUMIFS('BS Balances'!$G:$G,'BS Balances'!$B:$B,"Net Income",'BS Balances'!$F:$F,DATE(2025,3,31))</f>
        <v>17302.53</v>
      </c>
      <c r="F32" s="43">
        <f>SUMIFS('BS Balances'!$G:$G,'BS Balances'!$B:$B,"Net Income",'BS Balances'!$F:$F,DATE(2025,4,30))</f>
        <v>22051.31</v>
      </c>
      <c r="G32" s="43">
        <f>SUMIFS('BS Balances'!$G:$G,'BS Balances'!$B:$B,"Net Income",'BS Balances'!$F:$F,DATE(2025,5,31))</f>
        <v>47506.42</v>
      </c>
      <c r="H32" s="43">
        <f>SUMIFS('BS Balances'!$G:$G,'BS Balances'!$B:$B,"Net Income",'BS Balances'!$F:$F,DATE(2025,6,30))</f>
        <v>84625.71</v>
      </c>
      <c r="I32" s="43">
        <f>SUMIFS('BS Balances'!$G:$G,'BS Balances'!$B:$B,"Net Income",'BS Balances'!$F:$F,DATE(2025,7,31))</f>
        <v>-34237.07</v>
      </c>
      <c r="J32" s="43">
        <f>SUMIFS('BS Balances'!$G:$G,'BS Balances'!$B:$B,"Net Income",'BS Balances'!$F:$F,DATE(2025,8,31))</f>
        <v>-22940.01</v>
      </c>
      <c r="K32" s="43">
        <f>SUMIFS('BS Balances'!$G:$G,'BS Balances'!$B:$B,"Net Income",'BS Balances'!$F:$F,DATE(2025,9,30))</f>
        <v>46196.1</v>
      </c>
      <c r="L32" s="43">
        <f>SUMIFS('BS Balances'!$G:$G,'BS Balances'!$B:$B,"Net Income",'BS Balances'!$F:$F,DATE(2025,10,31))</f>
        <v>44194.7</v>
      </c>
      <c r="M32" s="43">
        <f>SUMIFS('BS Balances'!$G:$G,'BS Balances'!$B:$B,"Net Income",'BS Balances'!$F:$F,DATE(2025,11,30))</f>
        <v>132793.79</v>
      </c>
      <c r="N32" s="43">
        <f>SUMIFS('BS Balances'!$G:$G,'BS Balances'!$B:$B,"Net Income",'BS Balances'!$F:$F,DATE(2025,12,31))</f>
        <v>108107.92</v>
      </c>
      <c r="O32" s="43">
        <f>SUMIFS('BS Balances'!$G:$G,'BS Balances'!$B:$B,"Net Income",'BS Balances'!$F:$F,DATE(2026,1,31))</f>
        <v>22033.5</v>
      </c>
      <c r="P32" s="43">
        <f>SUMIFS('BS Balances'!$G:$G,'BS Balances'!$B:$B,"Net Income",'BS Balances'!$F:$F,DATE(2026,2,28))</f>
        <v>39262.269999999997</v>
      </c>
      <c r="Q32" s="43">
        <f>SUMIFS('BS Balances'!$G:$G,'BS Balances'!$B:$B,"Net Income",'BS Balances'!$F:$F,DATE(2026,3,31))</f>
        <v>34773.5</v>
      </c>
    </row>
    <row r="33" spans="2:17" x14ac:dyDescent="0.3">
      <c r="B33" s="37" t="s">
        <v>15</v>
      </c>
      <c r="C33" s="41">
        <f t="shared" ref="C33:Q33" si="6">C31+C32</f>
        <v>322890.15000000002</v>
      </c>
      <c r="D33" s="41">
        <f t="shared" si="6"/>
        <v>354525.58</v>
      </c>
      <c r="E33" s="41">
        <f t="shared" si="6"/>
        <v>423139.38</v>
      </c>
      <c r="F33" s="41">
        <f t="shared" si="6"/>
        <v>427872.81</v>
      </c>
      <c r="G33" s="41">
        <f t="shared" si="6"/>
        <v>453173.82</v>
      </c>
      <c r="H33" s="41">
        <f t="shared" si="6"/>
        <v>490876.63000000006</v>
      </c>
      <c r="I33" s="41">
        <f t="shared" si="6"/>
        <v>221754.81</v>
      </c>
      <c r="J33" s="41">
        <f t="shared" si="6"/>
        <v>232737.04</v>
      </c>
      <c r="K33" s="41">
        <f t="shared" si="6"/>
        <v>301769.45</v>
      </c>
      <c r="L33" s="41">
        <f t="shared" si="6"/>
        <v>299740.71000000002</v>
      </c>
      <c r="M33" s="41">
        <f t="shared" si="6"/>
        <v>386899.88</v>
      </c>
      <c r="N33" s="41">
        <f t="shared" si="6"/>
        <v>364388.19</v>
      </c>
      <c r="O33" s="41">
        <f t="shared" si="6"/>
        <v>340965.13</v>
      </c>
      <c r="P33" s="41">
        <f t="shared" si="6"/>
        <v>358193.9</v>
      </c>
      <c r="Q33" s="41">
        <f t="shared" si="6"/>
        <v>353705.13</v>
      </c>
    </row>
    <row r="34" spans="2:17" x14ac:dyDescent="0.3">
      <c r="B34" s="45" t="s">
        <v>244</v>
      </c>
      <c r="C34" s="43">
        <f>'Balance Sheet'!C71</f>
        <v>322890.15000000002</v>
      </c>
      <c r="D34" s="43">
        <f>'Balance Sheet'!D71</f>
        <v>354525.58</v>
      </c>
      <c r="E34" s="43">
        <f>'Balance Sheet'!E71</f>
        <v>423139.38</v>
      </c>
      <c r="F34" s="43">
        <f>'Balance Sheet'!F71</f>
        <v>427872.81</v>
      </c>
      <c r="G34" s="43">
        <f>'Balance Sheet'!G71</f>
        <v>453173.82</v>
      </c>
      <c r="H34" s="43">
        <f>'Balance Sheet'!H71</f>
        <v>490876.63</v>
      </c>
      <c r="I34" s="43">
        <f>'Balance Sheet'!I71</f>
        <v>221754.81</v>
      </c>
      <c r="J34" s="43">
        <f>'Balance Sheet'!J71</f>
        <v>232737.04</v>
      </c>
      <c r="K34" s="43">
        <f>'Balance Sheet'!K71</f>
        <v>301769.45</v>
      </c>
      <c r="L34" s="43">
        <f>'Balance Sheet'!L71</f>
        <v>299740.71000000002</v>
      </c>
      <c r="M34" s="43">
        <f>'Balance Sheet'!M71</f>
        <v>386899.88</v>
      </c>
      <c r="N34" s="43">
        <f>'Balance Sheet'!N71</f>
        <v>364388.19</v>
      </c>
      <c r="O34" s="43">
        <f>'Balance Sheet'!O71</f>
        <v>340965.13</v>
      </c>
      <c r="P34" s="43">
        <f>'Balance Sheet'!P71</f>
        <v>358193.9</v>
      </c>
      <c r="Q34" s="43">
        <f>'Balance Sheet'!Q71</f>
        <v>353705.13</v>
      </c>
    </row>
    <row r="35" spans="2:17" x14ac:dyDescent="0.3">
      <c r="B35" s="37" t="s">
        <v>134</v>
      </c>
      <c r="C35" s="44">
        <f t="shared" ref="C35:Q35" si="7">C33-C34</f>
        <v>0</v>
      </c>
      <c r="D35" s="44">
        <f t="shared" si="7"/>
        <v>0</v>
      </c>
      <c r="E35" s="44">
        <f t="shared" si="7"/>
        <v>0</v>
      </c>
      <c r="F35" s="44">
        <f t="shared" si="7"/>
        <v>0</v>
      </c>
      <c r="G35" s="44">
        <f t="shared" si="7"/>
        <v>0</v>
      </c>
      <c r="H35" s="44">
        <f t="shared" si="7"/>
        <v>0</v>
      </c>
      <c r="I35" s="44">
        <f t="shared" si="7"/>
        <v>0</v>
      </c>
      <c r="J35" s="44">
        <f t="shared" si="7"/>
        <v>0</v>
      </c>
      <c r="K35" s="44">
        <f t="shared" si="7"/>
        <v>0</v>
      </c>
      <c r="L35" s="44">
        <f t="shared" si="7"/>
        <v>0</v>
      </c>
      <c r="M35" s="44">
        <f t="shared" si="7"/>
        <v>0</v>
      </c>
      <c r="N35" s="44">
        <f t="shared" si="7"/>
        <v>0</v>
      </c>
      <c r="O35" s="44">
        <f t="shared" si="7"/>
        <v>0</v>
      </c>
      <c r="P35" s="44">
        <f t="shared" si="7"/>
        <v>0</v>
      </c>
      <c r="Q35" s="44">
        <f t="shared" si="7"/>
        <v>0</v>
      </c>
    </row>
    <row r="37" spans="2:17" x14ac:dyDescent="0.3">
      <c r="B37" s="37" t="s">
        <v>241</v>
      </c>
      <c r="C37" s="41">
        <f t="shared" ref="C37:Q37" si="8">C27+C33</f>
        <v>474278.27</v>
      </c>
      <c r="D37" s="41">
        <f t="shared" si="8"/>
        <v>523882.02</v>
      </c>
      <c r="E37" s="41">
        <f t="shared" si="8"/>
        <v>894324.66</v>
      </c>
      <c r="F37" s="41">
        <f t="shared" si="8"/>
        <v>924000.04</v>
      </c>
      <c r="G37" s="41">
        <f t="shared" si="8"/>
        <v>891217.66999999993</v>
      </c>
      <c r="H37" s="41">
        <f t="shared" si="8"/>
        <v>887697.21000000008</v>
      </c>
      <c r="I37" s="41">
        <f t="shared" si="8"/>
        <v>604476.73</v>
      </c>
      <c r="J37" s="41">
        <f t="shared" si="8"/>
        <v>535008.34</v>
      </c>
      <c r="K37" s="41">
        <f t="shared" si="8"/>
        <v>605481.72</v>
      </c>
      <c r="L37" s="41">
        <f t="shared" si="8"/>
        <v>560594.95000000007</v>
      </c>
      <c r="M37" s="41">
        <f t="shared" si="8"/>
        <v>591037.24</v>
      </c>
      <c r="N37" s="41">
        <f t="shared" si="8"/>
        <v>503412.94</v>
      </c>
      <c r="O37" s="41">
        <f t="shared" si="8"/>
        <v>472704.04000000004</v>
      </c>
      <c r="P37" s="41">
        <f t="shared" si="8"/>
        <v>433754.34</v>
      </c>
      <c r="Q37" s="41">
        <f t="shared" si="8"/>
        <v>387381.44</v>
      </c>
    </row>
    <row r="39" spans="2:17" x14ac:dyDescent="0.3">
      <c r="B39" s="37" t="s">
        <v>13</v>
      </c>
      <c r="C39" s="41">
        <f t="shared" ref="C39:Q39" si="9">C21</f>
        <v>474278.27</v>
      </c>
      <c r="D39" s="41">
        <f t="shared" si="9"/>
        <v>523882.02</v>
      </c>
      <c r="E39" s="41">
        <f t="shared" si="9"/>
        <v>894324.66</v>
      </c>
      <c r="F39" s="41">
        <f t="shared" si="9"/>
        <v>924000.04</v>
      </c>
      <c r="G39" s="41">
        <f t="shared" si="9"/>
        <v>891217.66999999993</v>
      </c>
      <c r="H39" s="41">
        <f t="shared" si="9"/>
        <v>887697.21</v>
      </c>
      <c r="I39" s="41">
        <f t="shared" si="9"/>
        <v>604476.73</v>
      </c>
      <c r="J39" s="41">
        <f t="shared" si="9"/>
        <v>535008.34000000008</v>
      </c>
      <c r="K39" s="41">
        <f t="shared" si="9"/>
        <v>605481.72</v>
      </c>
      <c r="L39" s="41">
        <f t="shared" si="9"/>
        <v>560594.95000000007</v>
      </c>
      <c r="M39" s="41">
        <f t="shared" si="9"/>
        <v>591037.24</v>
      </c>
      <c r="N39" s="41">
        <f t="shared" si="9"/>
        <v>503412.94</v>
      </c>
      <c r="O39" s="41">
        <f t="shared" si="9"/>
        <v>472704.04000000004</v>
      </c>
      <c r="P39" s="41">
        <f t="shared" si="9"/>
        <v>433754.33999999997</v>
      </c>
      <c r="Q39" s="41">
        <f t="shared" si="9"/>
        <v>387381.44</v>
      </c>
    </row>
    <row r="40" spans="2:17" x14ac:dyDescent="0.3">
      <c r="B40" s="37" t="s">
        <v>241</v>
      </c>
      <c r="C40" s="41">
        <f t="shared" ref="C40:Q40" si="10">C37</f>
        <v>474278.27</v>
      </c>
      <c r="D40" s="41">
        <f t="shared" si="10"/>
        <v>523882.02</v>
      </c>
      <c r="E40" s="41">
        <f t="shared" si="10"/>
        <v>894324.66</v>
      </c>
      <c r="F40" s="41">
        <f t="shared" si="10"/>
        <v>924000.04</v>
      </c>
      <c r="G40" s="41">
        <f t="shared" si="10"/>
        <v>891217.66999999993</v>
      </c>
      <c r="H40" s="41">
        <f t="shared" si="10"/>
        <v>887697.21000000008</v>
      </c>
      <c r="I40" s="41">
        <f t="shared" si="10"/>
        <v>604476.73</v>
      </c>
      <c r="J40" s="41">
        <f t="shared" si="10"/>
        <v>535008.34</v>
      </c>
      <c r="K40" s="41">
        <f t="shared" si="10"/>
        <v>605481.72</v>
      </c>
      <c r="L40" s="41">
        <f t="shared" si="10"/>
        <v>560594.95000000007</v>
      </c>
      <c r="M40" s="41">
        <f t="shared" si="10"/>
        <v>591037.24</v>
      </c>
      <c r="N40" s="41">
        <f t="shared" si="10"/>
        <v>503412.94</v>
      </c>
      <c r="O40" s="41">
        <f t="shared" si="10"/>
        <v>472704.04000000004</v>
      </c>
      <c r="P40" s="41">
        <f t="shared" si="10"/>
        <v>433754.34</v>
      </c>
      <c r="Q40" s="41">
        <f t="shared" si="10"/>
        <v>387381.44</v>
      </c>
    </row>
    <row r="41" spans="2:17" x14ac:dyDescent="0.3">
      <c r="B41" s="37" t="s">
        <v>134</v>
      </c>
      <c r="C41" s="44">
        <f t="shared" ref="C41:Q41" si="11">C21-C37</f>
        <v>0</v>
      </c>
      <c r="D41" s="44">
        <f t="shared" si="11"/>
        <v>0</v>
      </c>
      <c r="E41" s="44">
        <f t="shared" si="11"/>
        <v>0</v>
      </c>
      <c r="F41" s="44">
        <f t="shared" si="11"/>
        <v>0</v>
      </c>
      <c r="G41" s="44">
        <f t="shared" si="11"/>
        <v>0</v>
      </c>
      <c r="H41" s="44">
        <f t="shared" si="11"/>
        <v>0</v>
      </c>
      <c r="I41" s="44">
        <f t="shared" si="11"/>
        <v>0</v>
      </c>
      <c r="J41" s="44">
        <f t="shared" si="11"/>
        <v>0</v>
      </c>
      <c r="K41" s="44">
        <f t="shared" si="11"/>
        <v>0</v>
      </c>
      <c r="L41" s="44">
        <f t="shared" si="11"/>
        <v>0</v>
      </c>
      <c r="M41" s="44">
        <f t="shared" si="11"/>
        <v>0</v>
      </c>
      <c r="N41" s="44">
        <f t="shared" si="11"/>
        <v>0</v>
      </c>
      <c r="O41" s="44">
        <f t="shared" si="11"/>
        <v>0</v>
      </c>
      <c r="P41" s="44">
        <f t="shared" si="11"/>
        <v>0</v>
      </c>
      <c r="Q41" s="44">
        <f t="shared" si="11"/>
        <v>0</v>
      </c>
    </row>
  </sheetData>
  <conditionalFormatting sqref="B23:P23">
    <cfRule type="cellIs" dxfId="9" priority="3" operator="notEqual">
      <formula>0</formula>
    </cfRule>
    <cfRule type="cellIs" dxfId="8" priority="4" operator="equal">
      <formula>0</formula>
    </cfRule>
  </conditionalFormatting>
  <conditionalFormatting sqref="B29:P29">
    <cfRule type="cellIs" dxfId="7" priority="5" operator="notEqual">
      <formula>0</formula>
    </cfRule>
    <cfRule type="cellIs" dxfId="6" priority="6" operator="equal">
      <formula>0</formula>
    </cfRule>
  </conditionalFormatting>
  <conditionalFormatting sqref="B35:P35">
    <cfRule type="cellIs" dxfId="5" priority="7" operator="notEqual">
      <formula>0</formula>
    </cfRule>
    <cfRule type="cellIs" dxfId="4" priority="8" operator="equal">
      <formula>0</formula>
    </cfRule>
  </conditionalFormatting>
  <conditionalFormatting sqref="B41:P41">
    <cfRule type="cellIs" dxfId="3" priority="9" operator="notEqual">
      <formula>0</formula>
    </cfRule>
    <cfRule type="cellIs" dxfId="2" priority="10" operator="equal">
      <formula>0</formula>
    </cfRule>
  </conditionalFormatting>
  <conditionalFormatting sqref="B14:R14">
    <cfRule type="cellIs" dxfId="1" priority="1" operator="notEqual">
      <formula>0</formula>
    </cfRule>
    <cfRule type="cellIs" dxfId="0" priority="2" operator="equal">
      <formula>0</formula>
    </cfRule>
  </conditionalFormatting>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F169"/>
  <sheetViews>
    <sheetView showGridLines="0" workbookViewId="0">
      <pane ySplit="5" topLeftCell="A6" activePane="bottomLeft" state="frozen"/>
      <selection pane="bottomLeft"/>
    </sheetView>
  </sheetViews>
  <sheetFormatPr defaultRowHeight="14.4" x14ac:dyDescent="0.3"/>
  <cols>
    <col min="1" max="1" width="0.6640625" customWidth="1"/>
    <col min="2" max="2" width="61.109375" bestFit="1" customWidth="1"/>
    <col min="3" max="3" width="27" customWidth="1"/>
    <col min="4" max="4" width="15" customWidth="1"/>
    <col min="5" max="5" width="27.44140625" bestFit="1" customWidth="1"/>
    <col min="6" max="6" width="30.21875" bestFit="1" customWidth="1"/>
  </cols>
  <sheetData>
    <row r="1" spans="1:6" x14ac:dyDescent="0.3">
      <c r="A1" s="37" t="s">
        <v>386</v>
      </c>
    </row>
    <row r="2" spans="1:6" x14ac:dyDescent="0.3">
      <c r="A2" s="38" t="s">
        <v>23</v>
      </c>
    </row>
    <row r="5" spans="1:6" x14ac:dyDescent="0.3">
      <c r="B5" s="9" t="s">
        <v>297</v>
      </c>
      <c r="C5" s="10" t="s">
        <v>248</v>
      </c>
      <c r="D5" s="10" t="s">
        <v>283</v>
      </c>
      <c r="E5" s="36" t="s">
        <v>447</v>
      </c>
      <c r="F5" s="36" t="s">
        <v>448</v>
      </c>
    </row>
    <row r="6" spans="1:6" x14ac:dyDescent="0.3">
      <c r="B6" s="38" t="s">
        <v>552</v>
      </c>
      <c r="C6" s="38" t="s">
        <v>37</v>
      </c>
      <c r="D6" s="38" t="s">
        <v>293</v>
      </c>
      <c r="E6" s="38" t="s">
        <v>550</v>
      </c>
      <c r="F6" s="38" t="s">
        <v>211</v>
      </c>
    </row>
    <row r="7" spans="1:6" x14ac:dyDescent="0.3">
      <c r="B7" s="38" t="s">
        <v>577</v>
      </c>
      <c r="C7" s="38" t="s">
        <v>37</v>
      </c>
      <c r="D7" s="38" t="s">
        <v>293</v>
      </c>
      <c r="E7" s="39" t="s">
        <v>298</v>
      </c>
    </row>
    <row r="8" spans="1:6" x14ac:dyDescent="0.3">
      <c r="B8" s="38" t="s">
        <v>38</v>
      </c>
      <c r="C8" s="38" t="s">
        <v>37</v>
      </c>
      <c r="D8" s="38" t="s">
        <v>293</v>
      </c>
      <c r="E8" s="38" t="s">
        <v>212</v>
      </c>
      <c r="F8" s="38" t="s">
        <v>211</v>
      </c>
    </row>
    <row r="9" spans="1:6" x14ac:dyDescent="0.3">
      <c r="B9" s="38" t="s">
        <v>39</v>
      </c>
      <c r="C9" s="38" t="s">
        <v>37</v>
      </c>
      <c r="D9" s="38" t="s">
        <v>293</v>
      </c>
      <c r="E9" s="38" t="s">
        <v>212</v>
      </c>
      <c r="F9" s="38" t="s">
        <v>211</v>
      </c>
    </row>
    <row r="10" spans="1:6" x14ac:dyDescent="0.3">
      <c r="B10" s="38" t="s">
        <v>40</v>
      </c>
      <c r="C10" s="38" t="s">
        <v>37</v>
      </c>
      <c r="D10" s="38" t="s">
        <v>293</v>
      </c>
      <c r="E10" s="38" t="s">
        <v>212</v>
      </c>
      <c r="F10" s="38" t="s">
        <v>211</v>
      </c>
    </row>
    <row r="11" spans="1:6" x14ac:dyDescent="0.3">
      <c r="B11" s="38" t="s">
        <v>299</v>
      </c>
      <c r="C11" s="38" t="s">
        <v>37</v>
      </c>
      <c r="D11" s="38" t="s">
        <v>293</v>
      </c>
      <c r="E11" s="38" t="s">
        <v>212</v>
      </c>
      <c r="F11" s="38" t="s">
        <v>211</v>
      </c>
    </row>
    <row r="12" spans="1:6" x14ac:dyDescent="0.3">
      <c r="B12" s="38" t="s">
        <v>300</v>
      </c>
      <c r="C12" s="38" t="s">
        <v>37</v>
      </c>
      <c r="D12" s="38" t="s">
        <v>293</v>
      </c>
      <c r="E12" s="38" t="s">
        <v>212</v>
      </c>
      <c r="F12" s="38" t="s">
        <v>211</v>
      </c>
    </row>
    <row r="13" spans="1:6" x14ac:dyDescent="0.3">
      <c r="B13" s="38" t="s">
        <v>301</v>
      </c>
      <c r="C13" s="38" t="s">
        <v>37</v>
      </c>
      <c r="D13" s="38" t="s">
        <v>293</v>
      </c>
      <c r="E13" s="38" t="s">
        <v>212</v>
      </c>
      <c r="F13" s="38" t="s">
        <v>211</v>
      </c>
    </row>
    <row r="14" spans="1:6" x14ac:dyDescent="0.3">
      <c r="B14" s="38" t="s">
        <v>543</v>
      </c>
      <c r="C14" s="38" t="s">
        <v>37</v>
      </c>
      <c r="D14" s="38" t="s">
        <v>293</v>
      </c>
      <c r="E14" s="38" t="s">
        <v>212</v>
      </c>
      <c r="F14" s="38" t="s">
        <v>211</v>
      </c>
    </row>
    <row r="15" spans="1:6" x14ac:dyDescent="0.3">
      <c r="B15" s="38" t="s">
        <v>41</v>
      </c>
      <c r="C15" s="38" t="s">
        <v>37</v>
      </c>
      <c r="D15" s="38" t="s">
        <v>293</v>
      </c>
      <c r="E15" s="38" t="s">
        <v>212</v>
      </c>
      <c r="F15" s="38" t="s">
        <v>211</v>
      </c>
    </row>
    <row r="16" spans="1:6" x14ac:dyDescent="0.3">
      <c r="B16" s="38" t="s">
        <v>42</v>
      </c>
      <c r="C16" s="38" t="s">
        <v>37</v>
      </c>
      <c r="D16" s="38" t="s">
        <v>293</v>
      </c>
      <c r="E16" s="38" t="s">
        <v>212</v>
      </c>
      <c r="F16" s="38" t="s">
        <v>211</v>
      </c>
    </row>
    <row r="17" spans="2:6" x14ac:dyDescent="0.3">
      <c r="B17" s="38" t="s">
        <v>43</v>
      </c>
      <c r="C17" s="38" t="s">
        <v>37</v>
      </c>
      <c r="D17" s="38" t="s">
        <v>293</v>
      </c>
      <c r="E17" s="38" t="s">
        <v>212</v>
      </c>
      <c r="F17" s="38" t="s">
        <v>211</v>
      </c>
    </row>
    <row r="18" spans="2:6" x14ac:dyDescent="0.3">
      <c r="B18" s="38" t="s">
        <v>45</v>
      </c>
      <c r="C18" s="38" t="s">
        <v>37</v>
      </c>
      <c r="D18" s="38" t="s">
        <v>293</v>
      </c>
      <c r="E18" s="38" t="s">
        <v>212</v>
      </c>
      <c r="F18" s="38" t="s">
        <v>211</v>
      </c>
    </row>
    <row r="19" spans="2:6" x14ac:dyDescent="0.3">
      <c r="B19" s="38" t="s">
        <v>302</v>
      </c>
      <c r="C19" s="38" t="s">
        <v>37</v>
      </c>
      <c r="D19" s="38" t="s">
        <v>293</v>
      </c>
      <c r="E19" s="39" t="s">
        <v>298</v>
      </c>
    </row>
    <row r="20" spans="2:6" x14ac:dyDescent="0.3">
      <c r="B20" s="38" t="s">
        <v>303</v>
      </c>
      <c r="C20" s="38" t="s">
        <v>251</v>
      </c>
      <c r="D20" s="38" t="s">
        <v>293</v>
      </c>
      <c r="E20" s="39" t="s">
        <v>298</v>
      </c>
    </row>
    <row r="21" spans="2:6" x14ac:dyDescent="0.3">
      <c r="B21" s="38" t="s">
        <v>304</v>
      </c>
      <c r="C21" s="38" t="s">
        <v>251</v>
      </c>
      <c r="D21" s="38" t="s">
        <v>293</v>
      </c>
      <c r="E21" s="39" t="s">
        <v>298</v>
      </c>
    </row>
    <row r="22" spans="2:6" x14ac:dyDescent="0.3">
      <c r="B22" s="38" t="s">
        <v>305</v>
      </c>
      <c r="C22" s="38" t="s">
        <v>251</v>
      </c>
      <c r="D22" s="38" t="s">
        <v>293</v>
      </c>
      <c r="E22" s="39" t="s">
        <v>298</v>
      </c>
    </row>
    <row r="23" spans="2:6" x14ac:dyDescent="0.3">
      <c r="B23" s="38" t="s">
        <v>306</v>
      </c>
      <c r="C23" s="38" t="s">
        <v>251</v>
      </c>
      <c r="D23" s="38" t="s">
        <v>293</v>
      </c>
      <c r="E23" s="39" t="s">
        <v>298</v>
      </c>
    </row>
    <row r="24" spans="2:6" x14ac:dyDescent="0.3">
      <c r="B24" s="38" t="s">
        <v>307</v>
      </c>
      <c r="C24" s="38" t="s">
        <v>251</v>
      </c>
      <c r="D24" s="38" t="s">
        <v>293</v>
      </c>
      <c r="E24" s="39" t="s">
        <v>298</v>
      </c>
    </row>
    <row r="25" spans="2:6" x14ac:dyDescent="0.3">
      <c r="B25" s="38" t="s">
        <v>50</v>
      </c>
      <c r="C25" s="38" t="s">
        <v>251</v>
      </c>
      <c r="D25" s="38" t="s">
        <v>293</v>
      </c>
      <c r="E25" s="38" t="s">
        <v>218</v>
      </c>
      <c r="F25" s="38" t="s">
        <v>216</v>
      </c>
    </row>
    <row r="26" spans="2:6" x14ac:dyDescent="0.3">
      <c r="B26" s="38" t="s">
        <v>51</v>
      </c>
      <c r="C26" s="38" t="s">
        <v>251</v>
      </c>
      <c r="D26" s="38" t="s">
        <v>293</v>
      </c>
      <c r="E26" s="38" t="s">
        <v>218</v>
      </c>
      <c r="F26" s="38" t="s">
        <v>216</v>
      </c>
    </row>
    <row r="27" spans="2:6" x14ac:dyDescent="0.3">
      <c r="B27" s="38" t="s">
        <v>52</v>
      </c>
      <c r="C27" s="38" t="s">
        <v>251</v>
      </c>
      <c r="D27" s="38" t="s">
        <v>293</v>
      </c>
      <c r="E27" s="38" t="s">
        <v>218</v>
      </c>
      <c r="F27" s="38" t="s">
        <v>216</v>
      </c>
    </row>
    <row r="28" spans="2:6" x14ac:dyDescent="0.3">
      <c r="B28" s="38" t="s">
        <v>53</v>
      </c>
      <c r="C28" s="38" t="s">
        <v>251</v>
      </c>
      <c r="D28" s="38" t="s">
        <v>293</v>
      </c>
      <c r="E28" s="38" t="s">
        <v>218</v>
      </c>
      <c r="F28" s="38" t="s">
        <v>216</v>
      </c>
    </row>
    <row r="29" spans="2:6" x14ac:dyDescent="0.3">
      <c r="B29" s="38" t="s">
        <v>308</v>
      </c>
      <c r="C29" s="38" t="s">
        <v>251</v>
      </c>
      <c r="D29" s="38" t="s">
        <v>293</v>
      </c>
      <c r="E29" s="38" t="s">
        <v>218</v>
      </c>
      <c r="F29" s="38" t="s">
        <v>216</v>
      </c>
    </row>
    <row r="30" spans="2:6" x14ac:dyDescent="0.3">
      <c r="B30" s="38" t="s">
        <v>309</v>
      </c>
      <c r="C30" s="38" t="s">
        <v>251</v>
      </c>
      <c r="D30" s="38" t="s">
        <v>293</v>
      </c>
      <c r="E30" s="38" t="s">
        <v>218</v>
      </c>
      <c r="F30" s="38" t="s">
        <v>216</v>
      </c>
    </row>
    <row r="31" spans="2:6" x14ac:dyDescent="0.3">
      <c r="B31" s="38" t="s">
        <v>544</v>
      </c>
      <c r="C31" s="38" t="s">
        <v>251</v>
      </c>
      <c r="D31" s="38" t="s">
        <v>293</v>
      </c>
      <c r="E31" s="38" t="s">
        <v>218</v>
      </c>
      <c r="F31" s="38" t="s">
        <v>216</v>
      </c>
    </row>
    <row r="32" spans="2:6" x14ac:dyDescent="0.3">
      <c r="B32" s="38" t="s">
        <v>54</v>
      </c>
      <c r="C32" s="38" t="s">
        <v>251</v>
      </c>
      <c r="D32" s="38" t="s">
        <v>293</v>
      </c>
      <c r="E32" s="38" t="s">
        <v>218</v>
      </c>
      <c r="F32" s="38" t="s">
        <v>216</v>
      </c>
    </row>
    <row r="33" spans="2:6" x14ac:dyDescent="0.3">
      <c r="B33" s="38" t="s">
        <v>55</v>
      </c>
      <c r="C33" s="38" t="s">
        <v>251</v>
      </c>
      <c r="D33" s="38" t="s">
        <v>293</v>
      </c>
      <c r="E33" s="38" t="s">
        <v>218</v>
      </c>
      <c r="F33" s="38" t="s">
        <v>216</v>
      </c>
    </row>
    <row r="34" spans="2:6" x14ac:dyDescent="0.3">
      <c r="B34" s="38" t="s">
        <v>56</v>
      </c>
      <c r="C34" s="38" t="s">
        <v>251</v>
      </c>
      <c r="D34" s="38" t="s">
        <v>293</v>
      </c>
      <c r="E34" s="38" t="s">
        <v>218</v>
      </c>
      <c r="F34" s="38" t="s">
        <v>216</v>
      </c>
    </row>
    <row r="35" spans="2:6" x14ac:dyDescent="0.3">
      <c r="B35" s="38" t="s">
        <v>57</v>
      </c>
      <c r="C35" s="38" t="s">
        <v>251</v>
      </c>
      <c r="D35" s="38" t="s">
        <v>293</v>
      </c>
      <c r="E35" s="38" t="s">
        <v>218</v>
      </c>
      <c r="F35" s="38" t="s">
        <v>216</v>
      </c>
    </row>
    <row r="36" spans="2:6" x14ac:dyDescent="0.3">
      <c r="B36" s="38" t="s">
        <v>58</v>
      </c>
      <c r="C36" s="38" t="s">
        <v>251</v>
      </c>
      <c r="D36" s="38" t="s">
        <v>293</v>
      </c>
      <c r="E36" s="38" t="s">
        <v>218</v>
      </c>
      <c r="F36" s="38" t="s">
        <v>216</v>
      </c>
    </row>
    <row r="37" spans="2:6" x14ac:dyDescent="0.3">
      <c r="B37" s="38" t="s">
        <v>310</v>
      </c>
      <c r="C37" s="38" t="s">
        <v>251</v>
      </c>
      <c r="D37" s="38" t="s">
        <v>293</v>
      </c>
      <c r="E37" s="38" t="s">
        <v>218</v>
      </c>
      <c r="F37" s="38" t="s">
        <v>216</v>
      </c>
    </row>
    <row r="38" spans="2:6" x14ac:dyDescent="0.3">
      <c r="B38" s="38" t="s">
        <v>60</v>
      </c>
      <c r="C38" s="38" t="s">
        <v>251</v>
      </c>
      <c r="D38" s="38" t="s">
        <v>293</v>
      </c>
      <c r="E38" s="38" t="s">
        <v>217</v>
      </c>
      <c r="F38" s="38" t="s">
        <v>216</v>
      </c>
    </row>
    <row r="39" spans="2:6" x14ac:dyDescent="0.3">
      <c r="B39" s="38" t="s">
        <v>61</v>
      </c>
      <c r="C39" s="38" t="s">
        <v>251</v>
      </c>
      <c r="D39" s="38" t="s">
        <v>293</v>
      </c>
      <c r="E39" s="38" t="s">
        <v>217</v>
      </c>
      <c r="F39" s="38" t="s">
        <v>216</v>
      </c>
    </row>
    <row r="40" spans="2:6" x14ac:dyDescent="0.3">
      <c r="B40" s="38" t="s">
        <v>62</v>
      </c>
      <c r="C40" s="38" t="s">
        <v>251</v>
      </c>
      <c r="D40" s="38" t="s">
        <v>293</v>
      </c>
      <c r="E40" s="38" t="s">
        <v>217</v>
      </c>
      <c r="F40" s="38" t="s">
        <v>216</v>
      </c>
    </row>
    <row r="41" spans="2:6" x14ac:dyDescent="0.3">
      <c r="B41" s="38" t="s">
        <v>311</v>
      </c>
      <c r="C41" s="38" t="s">
        <v>251</v>
      </c>
      <c r="D41" s="38" t="s">
        <v>293</v>
      </c>
      <c r="E41" s="38" t="s">
        <v>217</v>
      </c>
      <c r="F41" s="38" t="s">
        <v>216</v>
      </c>
    </row>
    <row r="42" spans="2:6" x14ac:dyDescent="0.3">
      <c r="B42" s="38" t="s">
        <v>312</v>
      </c>
      <c r="C42" s="38" t="s">
        <v>251</v>
      </c>
      <c r="D42" s="38" t="s">
        <v>293</v>
      </c>
      <c r="E42" s="38" t="s">
        <v>217</v>
      </c>
      <c r="F42" s="38" t="s">
        <v>216</v>
      </c>
    </row>
    <row r="43" spans="2:6" x14ac:dyDescent="0.3">
      <c r="B43" s="38" t="s">
        <v>63</v>
      </c>
      <c r="C43" s="38" t="s">
        <v>251</v>
      </c>
      <c r="D43" s="38" t="s">
        <v>293</v>
      </c>
      <c r="E43" s="38" t="s">
        <v>217</v>
      </c>
      <c r="F43" s="38" t="s">
        <v>216</v>
      </c>
    </row>
    <row r="44" spans="2:6" x14ac:dyDescent="0.3">
      <c r="B44" s="38" t="s">
        <v>313</v>
      </c>
      <c r="C44" s="38" t="s">
        <v>251</v>
      </c>
      <c r="D44" s="38" t="s">
        <v>293</v>
      </c>
      <c r="E44" s="38" t="s">
        <v>214</v>
      </c>
      <c r="F44" s="38" t="s">
        <v>214</v>
      </c>
    </row>
    <row r="45" spans="2:6" x14ac:dyDescent="0.3">
      <c r="B45" s="38" t="s">
        <v>314</v>
      </c>
      <c r="C45" s="38" t="s">
        <v>251</v>
      </c>
      <c r="D45" s="38" t="s">
        <v>293</v>
      </c>
      <c r="E45" s="38" t="s">
        <v>214</v>
      </c>
      <c r="F45" s="38" t="s">
        <v>214</v>
      </c>
    </row>
    <row r="46" spans="2:6" x14ac:dyDescent="0.3">
      <c r="B46" s="38" t="s">
        <v>315</v>
      </c>
      <c r="C46" s="38" t="s">
        <v>251</v>
      </c>
      <c r="D46" s="38" t="s">
        <v>293</v>
      </c>
      <c r="E46" s="38" t="s">
        <v>214</v>
      </c>
      <c r="F46" s="38" t="s">
        <v>214</v>
      </c>
    </row>
    <row r="47" spans="2:6" x14ac:dyDescent="0.3">
      <c r="B47" s="38" t="s">
        <v>316</v>
      </c>
      <c r="C47" s="38" t="s">
        <v>251</v>
      </c>
      <c r="D47" s="38" t="s">
        <v>293</v>
      </c>
      <c r="E47" s="38" t="s">
        <v>214</v>
      </c>
      <c r="F47" s="38" t="s">
        <v>214</v>
      </c>
    </row>
    <row r="48" spans="2:6" x14ac:dyDescent="0.3">
      <c r="B48" s="38" t="s">
        <v>317</v>
      </c>
      <c r="C48" s="38" t="s">
        <v>251</v>
      </c>
      <c r="D48" s="38" t="s">
        <v>293</v>
      </c>
      <c r="E48" s="38" t="s">
        <v>214</v>
      </c>
      <c r="F48" s="38" t="s">
        <v>214</v>
      </c>
    </row>
    <row r="49" spans="2:6" x14ac:dyDescent="0.3">
      <c r="B49" s="38" t="s">
        <v>318</v>
      </c>
      <c r="C49" s="38" t="s">
        <v>251</v>
      </c>
      <c r="D49" s="38" t="s">
        <v>293</v>
      </c>
      <c r="E49" s="38" t="s">
        <v>214</v>
      </c>
      <c r="F49" s="38" t="s">
        <v>214</v>
      </c>
    </row>
    <row r="50" spans="2:6" x14ac:dyDescent="0.3">
      <c r="B50" s="38" t="s">
        <v>319</v>
      </c>
      <c r="C50" s="38" t="s">
        <v>251</v>
      </c>
      <c r="D50" s="38" t="s">
        <v>293</v>
      </c>
      <c r="E50" s="38" t="s">
        <v>214</v>
      </c>
      <c r="F50" s="38" t="s">
        <v>214</v>
      </c>
    </row>
    <row r="51" spans="2:6" x14ac:dyDescent="0.3">
      <c r="B51" s="38" t="s">
        <v>320</v>
      </c>
      <c r="C51" s="38" t="s">
        <v>251</v>
      </c>
      <c r="D51" s="38" t="s">
        <v>293</v>
      </c>
      <c r="E51" s="38" t="s">
        <v>214</v>
      </c>
      <c r="F51" s="38" t="s">
        <v>214</v>
      </c>
    </row>
    <row r="52" spans="2:6" x14ac:dyDescent="0.3">
      <c r="B52" s="38" t="s">
        <v>65</v>
      </c>
      <c r="C52" s="38" t="s">
        <v>251</v>
      </c>
      <c r="D52" s="38" t="s">
        <v>293</v>
      </c>
      <c r="E52" s="38" t="s">
        <v>219</v>
      </c>
      <c r="F52" s="38" t="s">
        <v>216</v>
      </c>
    </row>
    <row r="53" spans="2:6" x14ac:dyDescent="0.3">
      <c r="B53" s="38" t="s">
        <v>66</v>
      </c>
      <c r="C53" s="38" t="s">
        <v>251</v>
      </c>
      <c r="D53" s="38" t="s">
        <v>293</v>
      </c>
      <c r="E53" s="38" t="s">
        <v>219</v>
      </c>
      <c r="F53" s="38" t="s">
        <v>216</v>
      </c>
    </row>
    <row r="54" spans="2:6" x14ac:dyDescent="0.3">
      <c r="B54" s="38" t="s">
        <v>67</v>
      </c>
      <c r="C54" s="38" t="s">
        <v>251</v>
      </c>
      <c r="D54" s="38" t="s">
        <v>293</v>
      </c>
      <c r="E54" s="38" t="s">
        <v>219</v>
      </c>
      <c r="F54" s="38" t="s">
        <v>216</v>
      </c>
    </row>
    <row r="55" spans="2:6" x14ac:dyDescent="0.3">
      <c r="B55" s="38" t="s">
        <v>68</v>
      </c>
      <c r="C55" s="38" t="s">
        <v>251</v>
      </c>
      <c r="D55" s="38" t="s">
        <v>293</v>
      </c>
      <c r="E55" s="38" t="s">
        <v>219</v>
      </c>
      <c r="F55" s="38" t="s">
        <v>216</v>
      </c>
    </row>
    <row r="56" spans="2:6" x14ac:dyDescent="0.3">
      <c r="B56" s="38" t="s">
        <v>69</v>
      </c>
      <c r="C56" s="38" t="s">
        <v>251</v>
      </c>
      <c r="D56" s="38" t="s">
        <v>293</v>
      </c>
      <c r="E56" s="38" t="s">
        <v>219</v>
      </c>
      <c r="F56" s="38" t="s">
        <v>216</v>
      </c>
    </row>
    <row r="57" spans="2:6" x14ac:dyDescent="0.3">
      <c r="B57" s="38" t="s">
        <v>321</v>
      </c>
      <c r="C57" s="38" t="s">
        <v>251</v>
      </c>
      <c r="D57" s="38" t="s">
        <v>293</v>
      </c>
      <c r="E57" s="38" t="s">
        <v>219</v>
      </c>
      <c r="F57" s="38" t="s">
        <v>216</v>
      </c>
    </row>
    <row r="58" spans="2:6" x14ac:dyDescent="0.3">
      <c r="B58" s="38" t="s">
        <v>70</v>
      </c>
      <c r="C58" s="38" t="s">
        <v>251</v>
      </c>
      <c r="D58" s="38" t="s">
        <v>293</v>
      </c>
      <c r="E58" s="38" t="s">
        <v>219</v>
      </c>
      <c r="F58" s="38" t="s">
        <v>216</v>
      </c>
    </row>
    <row r="59" spans="2:6" x14ac:dyDescent="0.3">
      <c r="B59" s="38" t="s">
        <v>71</v>
      </c>
      <c r="C59" s="38" t="s">
        <v>251</v>
      </c>
      <c r="D59" s="38" t="s">
        <v>293</v>
      </c>
      <c r="E59" s="38" t="s">
        <v>219</v>
      </c>
      <c r="F59" s="38" t="s">
        <v>216</v>
      </c>
    </row>
    <row r="60" spans="2:6" x14ac:dyDescent="0.3">
      <c r="B60" s="38" t="s">
        <v>578</v>
      </c>
      <c r="C60" s="38" t="s">
        <v>251</v>
      </c>
      <c r="D60" s="38" t="s">
        <v>293</v>
      </c>
      <c r="E60" s="38" t="s">
        <v>219</v>
      </c>
      <c r="F60" s="38" t="s">
        <v>216</v>
      </c>
    </row>
    <row r="61" spans="2:6" x14ac:dyDescent="0.3">
      <c r="B61" s="38" t="s">
        <v>72</v>
      </c>
      <c r="C61" s="38" t="s">
        <v>251</v>
      </c>
      <c r="D61" s="38" t="s">
        <v>293</v>
      </c>
      <c r="E61" s="38" t="s">
        <v>219</v>
      </c>
      <c r="F61" s="38" t="s">
        <v>216</v>
      </c>
    </row>
    <row r="62" spans="2:6" x14ac:dyDescent="0.3">
      <c r="B62" s="38" t="s">
        <v>74</v>
      </c>
      <c r="C62" s="38" t="s">
        <v>251</v>
      </c>
      <c r="D62" s="38" t="s">
        <v>293</v>
      </c>
      <c r="E62" s="38" t="s">
        <v>220</v>
      </c>
      <c r="F62" s="38" t="s">
        <v>216</v>
      </c>
    </row>
    <row r="63" spans="2:6" x14ac:dyDescent="0.3">
      <c r="B63" s="38" t="s">
        <v>79</v>
      </c>
      <c r="C63" s="38" t="s">
        <v>251</v>
      </c>
      <c r="D63" s="38" t="s">
        <v>293</v>
      </c>
      <c r="E63" s="38" t="s">
        <v>220</v>
      </c>
      <c r="F63" s="38" t="s">
        <v>216</v>
      </c>
    </row>
    <row r="64" spans="2:6" x14ac:dyDescent="0.3">
      <c r="B64" s="38" t="s">
        <v>322</v>
      </c>
      <c r="C64" s="38" t="s">
        <v>251</v>
      </c>
      <c r="D64" s="38" t="s">
        <v>293</v>
      </c>
      <c r="E64" s="38" t="s">
        <v>220</v>
      </c>
      <c r="F64" s="38" t="s">
        <v>216</v>
      </c>
    </row>
    <row r="65" spans="2:6" x14ac:dyDescent="0.3">
      <c r="B65" s="38" t="s">
        <v>323</v>
      </c>
      <c r="C65" s="38" t="s">
        <v>251</v>
      </c>
      <c r="D65" s="38" t="s">
        <v>293</v>
      </c>
      <c r="E65" s="38" t="s">
        <v>220</v>
      </c>
      <c r="F65" s="38" t="s">
        <v>216</v>
      </c>
    </row>
    <row r="66" spans="2:6" x14ac:dyDescent="0.3">
      <c r="B66" s="38" t="s">
        <v>80</v>
      </c>
      <c r="C66" s="38" t="s">
        <v>251</v>
      </c>
      <c r="D66" s="38" t="s">
        <v>293</v>
      </c>
      <c r="E66" s="38" t="s">
        <v>220</v>
      </c>
      <c r="F66" s="38" t="s">
        <v>216</v>
      </c>
    </row>
    <row r="67" spans="2:6" x14ac:dyDescent="0.3">
      <c r="B67" s="38" t="s">
        <v>83</v>
      </c>
      <c r="C67" s="38" t="s">
        <v>251</v>
      </c>
      <c r="D67" s="38" t="s">
        <v>293</v>
      </c>
      <c r="E67" s="38" t="s">
        <v>221</v>
      </c>
      <c r="F67" s="38" t="s">
        <v>216</v>
      </c>
    </row>
    <row r="68" spans="2:6" x14ac:dyDescent="0.3">
      <c r="B68" s="38" t="s">
        <v>86</v>
      </c>
      <c r="C68" s="38" t="s">
        <v>251</v>
      </c>
      <c r="D68" s="38" t="s">
        <v>293</v>
      </c>
      <c r="E68" s="38" t="s">
        <v>221</v>
      </c>
      <c r="F68" s="38" t="s">
        <v>216</v>
      </c>
    </row>
    <row r="69" spans="2:6" x14ac:dyDescent="0.3">
      <c r="B69" s="38" t="s">
        <v>87</v>
      </c>
      <c r="C69" s="38" t="s">
        <v>251</v>
      </c>
      <c r="D69" s="38" t="s">
        <v>293</v>
      </c>
      <c r="E69" s="38" t="s">
        <v>221</v>
      </c>
      <c r="F69" s="38" t="s">
        <v>216</v>
      </c>
    </row>
    <row r="70" spans="2:6" x14ac:dyDescent="0.3">
      <c r="B70" s="38" t="s">
        <v>88</v>
      </c>
      <c r="C70" s="38" t="s">
        <v>251</v>
      </c>
      <c r="D70" s="38" t="s">
        <v>293</v>
      </c>
      <c r="E70" s="38" t="s">
        <v>221</v>
      </c>
      <c r="F70" s="38" t="s">
        <v>216</v>
      </c>
    </row>
    <row r="71" spans="2:6" x14ac:dyDescent="0.3">
      <c r="B71" s="38" t="s">
        <v>90</v>
      </c>
      <c r="C71" s="38" t="s">
        <v>251</v>
      </c>
      <c r="D71" s="38" t="s">
        <v>293</v>
      </c>
      <c r="E71" s="38" t="s">
        <v>222</v>
      </c>
      <c r="F71" s="38" t="s">
        <v>216</v>
      </c>
    </row>
    <row r="72" spans="2:6" x14ac:dyDescent="0.3">
      <c r="B72" s="38" t="s">
        <v>95</v>
      </c>
      <c r="C72" s="38" t="s">
        <v>251</v>
      </c>
      <c r="D72" s="38" t="s">
        <v>293</v>
      </c>
      <c r="E72" s="38" t="s">
        <v>222</v>
      </c>
      <c r="F72" s="38" t="s">
        <v>216</v>
      </c>
    </row>
    <row r="73" spans="2:6" x14ac:dyDescent="0.3">
      <c r="B73" s="38" t="s">
        <v>98</v>
      </c>
      <c r="C73" s="38" t="s">
        <v>251</v>
      </c>
      <c r="D73" s="38" t="s">
        <v>293</v>
      </c>
      <c r="E73" s="38" t="s">
        <v>217</v>
      </c>
      <c r="F73" s="38" t="s">
        <v>216</v>
      </c>
    </row>
    <row r="74" spans="2:6" x14ac:dyDescent="0.3">
      <c r="B74" s="38" t="s">
        <v>99</v>
      </c>
      <c r="C74" s="38" t="s">
        <v>251</v>
      </c>
      <c r="D74" s="38" t="s">
        <v>293</v>
      </c>
      <c r="E74" s="38" t="s">
        <v>126</v>
      </c>
      <c r="F74" s="38" t="s">
        <v>216</v>
      </c>
    </row>
    <row r="75" spans="2:6" x14ac:dyDescent="0.3">
      <c r="B75" s="38" t="s">
        <v>101</v>
      </c>
      <c r="C75" s="38" t="s">
        <v>251</v>
      </c>
      <c r="D75" s="38" t="s">
        <v>293</v>
      </c>
      <c r="E75" s="38" t="s">
        <v>217</v>
      </c>
      <c r="F75" s="38" t="s">
        <v>216</v>
      </c>
    </row>
    <row r="76" spans="2:6" x14ac:dyDescent="0.3">
      <c r="B76" s="38" t="s">
        <v>324</v>
      </c>
      <c r="C76" s="38" t="s">
        <v>251</v>
      </c>
      <c r="D76" s="38" t="s">
        <v>293</v>
      </c>
      <c r="E76" s="38" t="s">
        <v>217</v>
      </c>
      <c r="F76" s="38" t="s">
        <v>216</v>
      </c>
    </row>
    <row r="77" spans="2:6" x14ac:dyDescent="0.3">
      <c r="B77" s="38" t="s">
        <v>102</v>
      </c>
      <c r="C77" s="38" t="s">
        <v>251</v>
      </c>
      <c r="D77" s="38" t="s">
        <v>293</v>
      </c>
      <c r="E77" s="38" t="s">
        <v>217</v>
      </c>
      <c r="F77" s="38" t="s">
        <v>216</v>
      </c>
    </row>
    <row r="78" spans="2:6" x14ac:dyDescent="0.3">
      <c r="B78" s="38" t="s">
        <v>325</v>
      </c>
      <c r="C78" s="38" t="s">
        <v>251</v>
      </c>
      <c r="D78" s="38" t="s">
        <v>293</v>
      </c>
      <c r="E78" s="38" t="s">
        <v>217</v>
      </c>
      <c r="F78" s="38" t="s">
        <v>216</v>
      </c>
    </row>
    <row r="79" spans="2:6" x14ac:dyDescent="0.3">
      <c r="B79" s="38" t="s">
        <v>326</v>
      </c>
      <c r="C79" s="38" t="s">
        <v>251</v>
      </c>
      <c r="D79" s="38" t="s">
        <v>293</v>
      </c>
      <c r="E79" s="38" t="s">
        <v>217</v>
      </c>
      <c r="F79" s="38" t="s">
        <v>216</v>
      </c>
    </row>
    <row r="80" spans="2:6" x14ac:dyDescent="0.3">
      <c r="B80" s="38" t="s">
        <v>103</v>
      </c>
      <c r="C80" s="38" t="s">
        <v>251</v>
      </c>
      <c r="D80" s="38" t="s">
        <v>293</v>
      </c>
      <c r="E80" s="38" t="s">
        <v>217</v>
      </c>
      <c r="F80" s="38" t="s">
        <v>216</v>
      </c>
    </row>
    <row r="81" spans="2:6" x14ac:dyDescent="0.3">
      <c r="B81" s="38" t="s">
        <v>104</v>
      </c>
      <c r="C81" s="38" t="s">
        <v>251</v>
      </c>
      <c r="D81" s="38" t="s">
        <v>293</v>
      </c>
      <c r="E81" s="38" t="s">
        <v>217</v>
      </c>
      <c r="F81" s="38" t="s">
        <v>216</v>
      </c>
    </row>
    <row r="82" spans="2:6" x14ac:dyDescent="0.3">
      <c r="B82" s="38" t="s">
        <v>105</v>
      </c>
      <c r="C82" s="38" t="s">
        <v>251</v>
      </c>
      <c r="D82" s="38" t="s">
        <v>293</v>
      </c>
      <c r="E82" s="38" t="s">
        <v>217</v>
      </c>
      <c r="F82" s="38" t="s">
        <v>216</v>
      </c>
    </row>
    <row r="83" spans="2:6" x14ac:dyDescent="0.3">
      <c r="B83" s="38" t="s">
        <v>327</v>
      </c>
      <c r="C83" s="38" t="s">
        <v>251</v>
      </c>
      <c r="D83" s="38" t="s">
        <v>293</v>
      </c>
      <c r="E83" s="38" t="s">
        <v>217</v>
      </c>
      <c r="F83" s="38" t="s">
        <v>216</v>
      </c>
    </row>
    <row r="84" spans="2:6" x14ac:dyDescent="0.3">
      <c r="B84" s="38" t="s">
        <v>106</v>
      </c>
      <c r="C84" s="38" t="s">
        <v>251</v>
      </c>
      <c r="D84" s="38" t="s">
        <v>293</v>
      </c>
      <c r="E84" s="38" t="s">
        <v>217</v>
      </c>
      <c r="F84" s="38" t="s">
        <v>216</v>
      </c>
    </row>
    <row r="85" spans="2:6" x14ac:dyDescent="0.3">
      <c r="B85" s="38" t="s">
        <v>328</v>
      </c>
      <c r="C85" s="38" t="s">
        <v>251</v>
      </c>
      <c r="D85" s="38" t="s">
        <v>293</v>
      </c>
      <c r="E85" s="38" t="s">
        <v>217</v>
      </c>
      <c r="F85" s="38" t="s">
        <v>216</v>
      </c>
    </row>
    <row r="86" spans="2:6" x14ac:dyDescent="0.3">
      <c r="B86" s="38" t="s">
        <v>107</v>
      </c>
      <c r="C86" s="38" t="s">
        <v>251</v>
      </c>
      <c r="D86" s="38" t="s">
        <v>293</v>
      </c>
      <c r="E86" s="38" t="s">
        <v>217</v>
      </c>
      <c r="F86" s="38" t="s">
        <v>216</v>
      </c>
    </row>
    <row r="87" spans="2:6" x14ac:dyDescent="0.3">
      <c r="B87" s="38" t="s">
        <v>108</v>
      </c>
      <c r="C87" s="38" t="s">
        <v>251</v>
      </c>
      <c r="D87" s="38" t="s">
        <v>293</v>
      </c>
      <c r="E87" s="38" t="s">
        <v>217</v>
      </c>
      <c r="F87" s="38" t="s">
        <v>216</v>
      </c>
    </row>
    <row r="88" spans="2:6" x14ac:dyDescent="0.3">
      <c r="B88" s="38" t="s">
        <v>109</v>
      </c>
      <c r="C88" s="38" t="s">
        <v>251</v>
      </c>
      <c r="D88" s="38" t="s">
        <v>293</v>
      </c>
      <c r="E88" s="38" t="s">
        <v>217</v>
      </c>
      <c r="F88" s="38" t="s">
        <v>216</v>
      </c>
    </row>
    <row r="89" spans="2:6" x14ac:dyDescent="0.3">
      <c r="B89" s="38" t="s">
        <v>110</v>
      </c>
      <c r="C89" s="38" t="s">
        <v>251</v>
      </c>
      <c r="D89" s="38" t="s">
        <v>293</v>
      </c>
      <c r="E89" s="38" t="s">
        <v>217</v>
      </c>
      <c r="F89" s="38" t="s">
        <v>216</v>
      </c>
    </row>
    <row r="90" spans="2:6" x14ac:dyDescent="0.3">
      <c r="B90" s="38" t="s">
        <v>112</v>
      </c>
      <c r="C90" s="38" t="s">
        <v>251</v>
      </c>
      <c r="D90" s="38" t="s">
        <v>293</v>
      </c>
      <c r="E90" s="38" t="s">
        <v>223</v>
      </c>
      <c r="F90" s="38" t="s">
        <v>216</v>
      </c>
    </row>
    <row r="91" spans="2:6" x14ac:dyDescent="0.3">
      <c r="B91" s="38" t="s">
        <v>329</v>
      </c>
      <c r="C91" s="38" t="s">
        <v>251</v>
      </c>
      <c r="D91" s="38" t="s">
        <v>293</v>
      </c>
      <c r="E91" s="38" t="s">
        <v>223</v>
      </c>
      <c r="F91" s="38" t="s">
        <v>216</v>
      </c>
    </row>
    <row r="92" spans="2:6" x14ac:dyDescent="0.3">
      <c r="B92" s="38" t="s">
        <v>113</v>
      </c>
      <c r="C92" s="38" t="s">
        <v>251</v>
      </c>
      <c r="D92" s="38" t="s">
        <v>293</v>
      </c>
      <c r="E92" s="38" t="s">
        <v>223</v>
      </c>
      <c r="F92" s="38" t="s">
        <v>216</v>
      </c>
    </row>
    <row r="93" spans="2:6" x14ac:dyDescent="0.3">
      <c r="B93" s="38" t="s">
        <v>330</v>
      </c>
      <c r="C93" s="38" t="s">
        <v>251</v>
      </c>
      <c r="D93" s="38" t="s">
        <v>293</v>
      </c>
      <c r="E93" s="38" t="s">
        <v>223</v>
      </c>
      <c r="F93" s="38" t="s">
        <v>216</v>
      </c>
    </row>
    <row r="94" spans="2:6" x14ac:dyDescent="0.3">
      <c r="B94" s="38" t="s">
        <v>114</v>
      </c>
      <c r="C94" s="38" t="s">
        <v>251</v>
      </c>
      <c r="D94" s="38" t="s">
        <v>293</v>
      </c>
      <c r="E94" s="38" t="s">
        <v>223</v>
      </c>
      <c r="F94" s="38" t="s">
        <v>216</v>
      </c>
    </row>
    <row r="95" spans="2:6" x14ac:dyDescent="0.3">
      <c r="B95" s="38" t="s">
        <v>331</v>
      </c>
      <c r="C95" s="38" t="s">
        <v>251</v>
      </c>
      <c r="D95" s="38" t="s">
        <v>293</v>
      </c>
      <c r="E95" s="38" t="s">
        <v>224</v>
      </c>
      <c r="F95" s="38" t="s">
        <v>216</v>
      </c>
    </row>
    <row r="96" spans="2:6" x14ac:dyDescent="0.3">
      <c r="B96" s="38" t="s">
        <v>332</v>
      </c>
      <c r="C96" s="38" t="s">
        <v>251</v>
      </c>
      <c r="D96" s="38" t="s">
        <v>293</v>
      </c>
      <c r="E96" s="38" t="s">
        <v>224</v>
      </c>
      <c r="F96" s="38" t="s">
        <v>216</v>
      </c>
    </row>
    <row r="97" spans="2:6" x14ac:dyDescent="0.3">
      <c r="B97" s="38" t="s">
        <v>333</v>
      </c>
      <c r="C97" s="38" t="s">
        <v>251</v>
      </c>
      <c r="D97" s="38" t="s">
        <v>293</v>
      </c>
      <c r="E97" s="38" t="s">
        <v>224</v>
      </c>
      <c r="F97" s="38" t="s">
        <v>216</v>
      </c>
    </row>
    <row r="98" spans="2:6" x14ac:dyDescent="0.3">
      <c r="B98" s="38" t="s">
        <v>334</v>
      </c>
      <c r="C98" s="38" t="s">
        <v>251</v>
      </c>
      <c r="D98" s="38" t="s">
        <v>293</v>
      </c>
      <c r="E98" s="38" t="s">
        <v>224</v>
      </c>
      <c r="F98" s="38" t="s">
        <v>216</v>
      </c>
    </row>
    <row r="99" spans="2:6" x14ac:dyDescent="0.3">
      <c r="B99" s="38" t="s">
        <v>335</v>
      </c>
      <c r="C99" s="38" t="s">
        <v>251</v>
      </c>
      <c r="D99" s="38" t="s">
        <v>293</v>
      </c>
      <c r="E99" s="38" t="s">
        <v>224</v>
      </c>
      <c r="F99" s="38" t="s">
        <v>216</v>
      </c>
    </row>
    <row r="100" spans="2:6" x14ac:dyDescent="0.3">
      <c r="B100" s="38" t="s">
        <v>336</v>
      </c>
      <c r="C100" s="38" t="s">
        <v>251</v>
      </c>
      <c r="D100" s="38" t="s">
        <v>293</v>
      </c>
      <c r="E100" s="38" t="s">
        <v>224</v>
      </c>
      <c r="F100" s="38" t="s">
        <v>216</v>
      </c>
    </row>
    <row r="101" spans="2:6" x14ac:dyDescent="0.3">
      <c r="B101" s="38" t="s">
        <v>337</v>
      </c>
      <c r="C101" s="38" t="s">
        <v>251</v>
      </c>
      <c r="D101" s="38" t="s">
        <v>293</v>
      </c>
      <c r="E101" s="38" t="s">
        <v>224</v>
      </c>
      <c r="F101" s="38" t="s">
        <v>216</v>
      </c>
    </row>
    <row r="102" spans="2:6" x14ac:dyDescent="0.3">
      <c r="B102" s="38" t="s">
        <v>116</v>
      </c>
      <c r="C102" s="38" t="s">
        <v>251</v>
      </c>
      <c r="D102" s="38" t="s">
        <v>293</v>
      </c>
      <c r="E102" s="38" t="s">
        <v>225</v>
      </c>
      <c r="F102" s="38" t="s">
        <v>216</v>
      </c>
    </row>
    <row r="103" spans="2:6" x14ac:dyDescent="0.3">
      <c r="B103" s="38" t="s">
        <v>119</v>
      </c>
      <c r="C103" s="38" t="s">
        <v>251</v>
      </c>
      <c r="D103" s="38" t="s">
        <v>293</v>
      </c>
      <c r="E103" s="38" t="s">
        <v>225</v>
      </c>
      <c r="F103" s="38" t="s">
        <v>216</v>
      </c>
    </row>
    <row r="104" spans="2:6" x14ac:dyDescent="0.3">
      <c r="B104" s="38" t="s">
        <v>122</v>
      </c>
      <c r="C104" s="38" t="s">
        <v>251</v>
      </c>
      <c r="D104" s="38" t="s">
        <v>293</v>
      </c>
      <c r="E104" s="38" t="s">
        <v>226</v>
      </c>
      <c r="F104" s="38" t="s">
        <v>216</v>
      </c>
    </row>
    <row r="105" spans="2:6" x14ac:dyDescent="0.3">
      <c r="B105" s="38" t="s">
        <v>123</v>
      </c>
      <c r="C105" s="38" t="s">
        <v>251</v>
      </c>
      <c r="D105" s="38" t="s">
        <v>293</v>
      </c>
      <c r="E105" s="38" t="s">
        <v>226</v>
      </c>
      <c r="F105" s="38" t="s">
        <v>216</v>
      </c>
    </row>
    <row r="106" spans="2:6" x14ac:dyDescent="0.3">
      <c r="B106" s="38" t="s">
        <v>124</v>
      </c>
      <c r="C106" s="38" t="s">
        <v>251</v>
      </c>
      <c r="D106" s="38" t="s">
        <v>293</v>
      </c>
      <c r="E106" s="38" t="s">
        <v>217</v>
      </c>
      <c r="F106" s="38" t="s">
        <v>216</v>
      </c>
    </row>
    <row r="107" spans="2:6" x14ac:dyDescent="0.3">
      <c r="B107" s="38" t="s">
        <v>338</v>
      </c>
      <c r="C107" s="38" t="s">
        <v>251</v>
      </c>
      <c r="D107" s="38" t="s">
        <v>293</v>
      </c>
      <c r="E107" s="38" t="s">
        <v>226</v>
      </c>
      <c r="F107" s="38" t="s">
        <v>216</v>
      </c>
    </row>
    <row r="108" spans="2:6" x14ac:dyDescent="0.3">
      <c r="B108" s="38" t="s">
        <v>339</v>
      </c>
      <c r="C108" s="38" t="s">
        <v>251</v>
      </c>
      <c r="D108" s="38" t="s">
        <v>293</v>
      </c>
      <c r="E108" s="38" t="s">
        <v>217</v>
      </c>
      <c r="F108" s="38" t="s">
        <v>216</v>
      </c>
    </row>
    <row r="109" spans="2:6" x14ac:dyDescent="0.3">
      <c r="B109" s="38" t="s">
        <v>551</v>
      </c>
      <c r="C109" s="38" t="s">
        <v>34</v>
      </c>
      <c r="D109" s="38" t="s">
        <v>293</v>
      </c>
      <c r="E109" s="38" t="s">
        <v>492</v>
      </c>
      <c r="F109" s="38" t="s">
        <v>208</v>
      </c>
    </row>
    <row r="110" spans="2:6" x14ac:dyDescent="0.3">
      <c r="B110" s="38" t="s">
        <v>560</v>
      </c>
      <c r="C110" s="38" t="s">
        <v>34</v>
      </c>
      <c r="D110" s="38" t="s">
        <v>293</v>
      </c>
      <c r="E110" s="38" t="s">
        <v>491</v>
      </c>
      <c r="F110" s="38" t="s">
        <v>208</v>
      </c>
    </row>
    <row r="111" spans="2:6" x14ac:dyDescent="0.3">
      <c r="B111" s="38" t="s">
        <v>561</v>
      </c>
      <c r="C111" s="38" t="s">
        <v>34</v>
      </c>
      <c r="D111" s="38" t="s">
        <v>293</v>
      </c>
      <c r="E111" s="38" t="s">
        <v>491</v>
      </c>
      <c r="F111" s="38" t="s">
        <v>208</v>
      </c>
    </row>
    <row r="112" spans="2:6" x14ac:dyDescent="0.3">
      <c r="B112" s="38" t="s">
        <v>35</v>
      </c>
      <c r="C112" s="38" t="s">
        <v>34</v>
      </c>
      <c r="D112" s="38" t="s">
        <v>293</v>
      </c>
      <c r="E112" s="38" t="s">
        <v>209</v>
      </c>
      <c r="F112" s="38" t="s">
        <v>208</v>
      </c>
    </row>
    <row r="113" spans="2:6" x14ac:dyDescent="0.3">
      <c r="B113" s="38" t="s">
        <v>340</v>
      </c>
      <c r="C113" s="38" t="s">
        <v>34</v>
      </c>
      <c r="D113" s="38" t="s">
        <v>293</v>
      </c>
      <c r="E113" s="38" t="s">
        <v>229</v>
      </c>
      <c r="F113" s="38" t="s">
        <v>209</v>
      </c>
    </row>
    <row r="114" spans="2:6" x14ac:dyDescent="0.3">
      <c r="B114" s="38" t="s">
        <v>341</v>
      </c>
      <c r="C114" s="38" t="s">
        <v>34</v>
      </c>
      <c r="D114" s="38" t="s">
        <v>293</v>
      </c>
      <c r="E114" s="38" t="s">
        <v>209</v>
      </c>
      <c r="F114" s="38" t="s">
        <v>209</v>
      </c>
    </row>
    <row r="115" spans="2:6" x14ac:dyDescent="0.3">
      <c r="B115" s="38" t="s">
        <v>342</v>
      </c>
      <c r="C115" s="38" t="s">
        <v>34</v>
      </c>
      <c r="D115" s="38" t="s">
        <v>293</v>
      </c>
      <c r="E115" s="38" t="s">
        <v>209</v>
      </c>
      <c r="F115" s="38" t="s">
        <v>209</v>
      </c>
    </row>
    <row r="116" spans="2:6" x14ac:dyDescent="0.3">
      <c r="B116" s="38" t="s">
        <v>343</v>
      </c>
      <c r="C116" s="38" t="s">
        <v>344</v>
      </c>
      <c r="D116" s="38" t="s">
        <v>293</v>
      </c>
      <c r="E116" s="38" t="s">
        <v>229</v>
      </c>
      <c r="F116" s="38" t="s">
        <v>209</v>
      </c>
    </row>
    <row r="117" spans="2:6" x14ac:dyDescent="0.3">
      <c r="B117" s="38" t="s">
        <v>345</v>
      </c>
      <c r="C117" s="38" t="s">
        <v>344</v>
      </c>
      <c r="D117" s="38" t="s">
        <v>293</v>
      </c>
      <c r="E117" s="39" t="s">
        <v>298</v>
      </c>
    </row>
    <row r="118" spans="2:6" x14ac:dyDescent="0.3">
      <c r="B118" s="38" t="s">
        <v>346</v>
      </c>
      <c r="C118" s="38" t="s">
        <v>344</v>
      </c>
      <c r="D118" s="38" t="s">
        <v>293</v>
      </c>
      <c r="E118" s="38" t="s">
        <v>226</v>
      </c>
      <c r="F118" s="38" t="s">
        <v>216</v>
      </c>
    </row>
    <row r="119" spans="2:6" x14ac:dyDescent="0.3">
      <c r="B119" s="38" t="s">
        <v>347</v>
      </c>
      <c r="C119" s="38" t="s">
        <v>209</v>
      </c>
      <c r="D119" s="38" t="s">
        <v>293</v>
      </c>
      <c r="E119" s="38" t="s">
        <v>209</v>
      </c>
      <c r="F119" s="38" t="s">
        <v>209</v>
      </c>
    </row>
    <row r="120" spans="2:6" x14ac:dyDescent="0.3">
      <c r="B120" s="38" t="s">
        <v>348</v>
      </c>
      <c r="C120" s="38" t="s">
        <v>209</v>
      </c>
      <c r="D120" s="38" t="s">
        <v>293</v>
      </c>
      <c r="E120" s="38" t="s">
        <v>209</v>
      </c>
      <c r="F120" s="38" t="s">
        <v>209</v>
      </c>
    </row>
    <row r="121" spans="2:6" x14ac:dyDescent="0.3">
      <c r="B121" s="38" t="s">
        <v>163</v>
      </c>
      <c r="C121" s="38" t="s">
        <v>162</v>
      </c>
      <c r="D121" s="38" t="s">
        <v>296</v>
      </c>
      <c r="E121" s="38" t="s">
        <v>162</v>
      </c>
      <c r="F121" s="38" t="s">
        <v>161</v>
      </c>
    </row>
    <row r="122" spans="2:6" x14ac:dyDescent="0.3">
      <c r="B122" s="38" t="s">
        <v>141</v>
      </c>
      <c r="C122" s="38" t="s">
        <v>140</v>
      </c>
      <c r="D122" s="38" t="s">
        <v>296</v>
      </c>
      <c r="E122" s="38" t="s">
        <v>233</v>
      </c>
      <c r="F122" s="38" t="s">
        <v>137</v>
      </c>
    </row>
    <row r="123" spans="2:6" x14ac:dyDescent="0.3">
      <c r="B123" s="38" t="s">
        <v>553</v>
      </c>
      <c r="C123" s="38" t="s">
        <v>254</v>
      </c>
      <c r="D123" s="38" t="s">
        <v>296</v>
      </c>
      <c r="E123" s="38" t="s">
        <v>232</v>
      </c>
      <c r="F123" s="38" t="s">
        <v>137</v>
      </c>
    </row>
    <row r="124" spans="2:6" x14ac:dyDescent="0.3">
      <c r="B124" s="38" t="s">
        <v>554</v>
      </c>
      <c r="C124" s="38" t="s">
        <v>254</v>
      </c>
      <c r="D124" s="38" t="s">
        <v>296</v>
      </c>
      <c r="E124" s="38" t="s">
        <v>232</v>
      </c>
      <c r="F124" s="38" t="s">
        <v>137</v>
      </c>
    </row>
    <row r="125" spans="2:6" x14ac:dyDescent="0.3">
      <c r="B125" s="38" t="s">
        <v>349</v>
      </c>
      <c r="C125" s="38" t="s">
        <v>256</v>
      </c>
      <c r="D125" s="38" t="s">
        <v>296</v>
      </c>
      <c r="E125" s="38" t="s">
        <v>162</v>
      </c>
      <c r="F125" s="38" t="s">
        <v>161</v>
      </c>
    </row>
    <row r="126" spans="2:6" x14ac:dyDescent="0.3">
      <c r="B126" s="38" t="s">
        <v>545</v>
      </c>
      <c r="C126" s="38" t="s">
        <v>256</v>
      </c>
      <c r="D126" s="38" t="s">
        <v>296</v>
      </c>
      <c r="E126" s="38" t="s">
        <v>162</v>
      </c>
      <c r="F126" s="38" t="s">
        <v>161</v>
      </c>
    </row>
    <row r="127" spans="2:6" x14ac:dyDescent="0.3">
      <c r="B127" s="38" t="s">
        <v>546</v>
      </c>
      <c r="C127" s="38" t="s">
        <v>256</v>
      </c>
      <c r="D127" s="38" t="s">
        <v>296</v>
      </c>
      <c r="E127" s="38" t="s">
        <v>162</v>
      </c>
      <c r="F127" s="38" t="s">
        <v>161</v>
      </c>
    </row>
    <row r="128" spans="2:6" x14ac:dyDescent="0.3">
      <c r="B128" s="38" t="s">
        <v>547</v>
      </c>
      <c r="C128" s="38" t="s">
        <v>256</v>
      </c>
      <c r="D128" s="38" t="s">
        <v>296</v>
      </c>
      <c r="E128" s="38" t="s">
        <v>162</v>
      </c>
      <c r="F128" s="38" t="s">
        <v>161</v>
      </c>
    </row>
    <row r="129" spans="2:6" x14ac:dyDescent="0.3">
      <c r="B129" s="38" t="s">
        <v>181</v>
      </c>
      <c r="C129" s="38" t="s">
        <v>180</v>
      </c>
      <c r="D129" s="38" t="s">
        <v>296</v>
      </c>
      <c r="E129" s="38" t="s">
        <v>240</v>
      </c>
      <c r="F129" s="38" t="s">
        <v>180</v>
      </c>
    </row>
    <row r="130" spans="2:6" x14ac:dyDescent="0.3">
      <c r="B130" s="38" t="s">
        <v>350</v>
      </c>
      <c r="C130" s="38" t="s">
        <v>180</v>
      </c>
      <c r="D130" s="38" t="s">
        <v>296</v>
      </c>
      <c r="E130" s="38" t="s">
        <v>240</v>
      </c>
      <c r="F130" s="38" t="s">
        <v>180</v>
      </c>
    </row>
    <row r="131" spans="2:6" x14ac:dyDescent="0.3">
      <c r="B131" s="38" t="s">
        <v>563</v>
      </c>
      <c r="C131" s="38" t="s">
        <v>180</v>
      </c>
      <c r="D131" s="38" t="s">
        <v>296</v>
      </c>
      <c r="E131" s="38" t="s">
        <v>240</v>
      </c>
      <c r="F131" s="38" t="s">
        <v>180</v>
      </c>
    </row>
    <row r="132" spans="2:6" x14ac:dyDescent="0.3">
      <c r="B132" s="38" t="s">
        <v>564</v>
      </c>
      <c r="C132" s="38" t="s">
        <v>180</v>
      </c>
      <c r="D132" s="38" t="s">
        <v>296</v>
      </c>
      <c r="E132" s="38" t="s">
        <v>240</v>
      </c>
      <c r="F132" s="38" t="s">
        <v>180</v>
      </c>
    </row>
    <row r="133" spans="2:6" x14ac:dyDescent="0.3">
      <c r="B133" s="38" t="s">
        <v>351</v>
      </c>
      <c r="C133" s="38" t="s">
        <v>180</v>
      </c>
      <c r="D133" s="38" t="s">
        <v>296</v>
      </c>
      <c r="E133" s="38" t="s">
        <v>240</v>
      </c>
      <c r="F133" s="38" t="s">
        <v>180</v>
      </c>
    </row>
    <row r="134" spans="2:6" x14ac:dyDescent="0.3">
      <c r="B134" s="38" t="s">
        <v>182</v>
      </c>
      <c r="C134" s="38" t="s">
        <v>180</v>
      </c>
      <c r="D134" s="38" t="s">
        <v>296</v>
      </c>
      <c r="E134" s="38" t="s">
        <v>240</v>
      </c>
      <c r="F134" s="38" t="s">
        <v>180</v>
      </c>
    </row>
    <row r="135" spans="2:6" x14ac:dyDescent="0.3">
      <c r="B135" s="38" t="s">
        <v>566</v>
      </c>
      <c r="C135" s="38" t="s">
        <v>180</v>
      </c>
      <c r="D135" s="38" t="s">
        <v>296</v>
      </c>
      <c r="E135" s="38" t="s">
        <v>240</v>
      </c>
      <c r="F135" s="38" t="s">
        <v>180</v>
      </c>
    </row>
    <row r="136" spans="2:6" x14ac:dyDescent="0.3">
      <c r="B136" s="38" t="s">
        <v>183</v>
      </c>
      <c r="C136" s="38" t="s">
        <v>180</v>
      </c>
      <c r="D136" s="38" t="s">
        <v>296</v>
      </c>
      <c r="E136" s="38" t="s">
        <v>240</v>
      </c>
      <c r="F136" s="38" t="s">
        <v>180</v>
      </c>
    </row>
    <row r="137" spans="2:6" x14ac:dyDescent="0.3">
      <c r="B137" s="38" t="s">
        <v>185</v>
      </c>
      <c r="C137" s="38" t="s">
        <v>180</v>
      </c>
      <c r="D137" s="38" t="s">
        <v>296</v>
      </c>
      <c r="E137" s="38" t="s">
        <v>240</v>
      </c>
      <c r="F137" s="38" t="s">
        <v>180</v>
      </c>
    </row>
    <row r="138" spans="2:6" x14ac:dyDescent="0.3">
      <c r="B138" s="38" t="s">
        <v>352</v>
      </c>
      <c r="C138" s="38" t="s">
        <v>353</v>
      </c>
      <c r="D138" s="38" t="s">
        <v>296</v>
      </c>
      <c r="E138" s="38" t="s">
        <v>235</v>
      </c>
      <c r="F138" s="38" t="s">
        <v>234</v>
      </c>
    </row>
    <row r="139" spans="2:6" x14ac:dyDescent="0.3">
      <c r="B139" s="38" t="s">
        <v>354</v>
      </c>
      <c r="C139" s="38" t="s">
        <v>353</v>
      </c>
      <c r="D139" s="38" t="s">
        <v>296</v>
      </c>
      <c r="E139" s="38" t="s">
        <v>235</v>
      </c>
      <c r="F139" s="38" t="s">
        <v>234</v>
      </c>
    </row>
    <row r="140" spans="2:6" x14ac:dyDescent="0.3">
      <c r="B140" s="38" t="s">
        <v>178</v>
      </c>
      <c r="C140" s="38" t="s">
        <v>274</v>
      </c>
      <c r="D140" s="38" t="s">
        <v>296</v>
      </c>
      <c r="E140" s="38" t="s">
        <v>239</v>
      </c>
      <c r="F140" s="38" t="s">
        <v>177</v>
      </c>
    </row>
    <row r="141" spans="2:6" x14ac:dyDescent="0.3">
      <c r="B141" s="38" t="s">
        <v>155</v>
      </c>
      <c r="C141" s="38" t="s">
        <v>268</v>
      </c>
      <c r="D141" s="38" t="s">
        <v>296</v>
      </c>
      <c r="E141" s="38" t="s">
        <v>235</v>
      </c>
      <c r="F141" s="38" t="s">
        <v>234</v>
      </c>
    </row>
    <row r="142" spans="2:6" x14ac:dyDescent="0.3">
      <c r="B142" s="38" t="s">
        <v>542</v>
      </c>
      <c r="C142" s="38" t="s">
        <v>268</v>
      </c>
      <c r="D142" s="38" t="s">
        <v>296</v>
      </c>
      <c r="E142" s="38" t="s">
        <v>235</v>
      </c>
      <c r="F142" s="38" t="s">
        <v>234</v>
      </c>
    </row>
    <row r="143" spans="2:6" x14ac:dyDescent="0.3">
      <c r="B143" s="38" t="s">
        <v>144</v>
      </c>
      <c r="C143" s="38" t="s">
        <v>255</v>
      </c>
      <c r="D143" s="38" t="s">
        <v>296</v>
      </c>
      <c r="E143" s="38" t="s">
        <v>143</v>
      </c>
      <c r="F143" s="38" t="s">
        <v>137</v>
      </c>
    </row>
    <row r="144" spans="2:6" x14ac:dyDescent="0.3">
      <c r="B144" s="38" t="s">
        <v>145</v>
      </c>
      <c r="C144" s="38" t="s">
        <v>255</v>
      </c>
      <c r="D144" s="38" t="s">
        <v>296</v>
      </c>
      <c r="E144" s="38" t="s">
        <v>143</v>
      </c>
      <c r="F144" s="38" t="s">
        <v>137</v>
      </c>
    </row>
    <row r="145" spans="2:6" x14ac:dyDescent="0.3">
      <c r="B145" s="38" t="s">
        <v>355</v>
      </c>
      <c r="C145" s="38" t="s">
        <v>255</v>
      </c>
      <c r="D145" s="38" t="s">
        <v>296</v>
      </c>
      <c r="E145" s="38" t="s">
        <v>143</v>
      </c>
      <c r="F145" s="38" t="s">
        <v>137</v>
      </c>
    </row>
    <row r="146" spans="2:6" x14ac:dyDescent="0.3">
      <c r="B146" s="38" t="s">
        <v>146</v>
      </c>
      <c r="C146" s="38" t="s">
        <v>255</v>
      </c>
      <c r="D146" s="38" t="s">
        <v>296</v>
      </c>
      <c r="E146" s="38" t="s">
        <v>143</v>
      </c>
      <c r="F146" s="38" t="s">
        <v>137</v>
      </c>
    </row>
    <row r="147" spans="2:6" x14ac:dyDescent="0.3">
      <c r="B147" s="38" t="s">
        <v>147</v>
      </c>
      <c r="C147" s="38" t="s">
        <v>255</v>
      </c>
      <c r="D147" s="38" t="s">
        <v>296</v>
      </c>
      <c r="E147" s="38" t="s">
        <v>143</v>
      </c>
      <c r="F147" s="38" t="s">
        <v>137</v>
      </c>
    </row>
    <row r="148" spans="2:6" x14ac:dyDescent="0.3">
      <c r="B148" s="38" t="s">
        <v>562</v>
      </c>
      <c r="C148" s="38" t="s">
        <v>255</v>
      </c>
      <c r="D148" s="38" t="s">
        <v>296</v>
      </c>
      <c r="E148" s="38" t="s">
        <v>143</v>
      </c>
      <c r="F148" s="38" t="s">
        <v>137</v>
      </c>
    </row>
    <row r="149" spans="2:6" x14ac:dyDescent="0.3">
      <c r="B149" s="38" t="s">
        <v>148</v>
      </c>
      <c r="C149" s="38" t="s">
        <v>255</v>
      </c>
      <c r="D149" s="38" t="s">
        <v>296</v>
      </c>
      <c r="E149" s="38" t="s">
        <v>143</v>
      </c>
      <c r="F149" s="38" t="s">
        <v>137</v>
      </c>
    </row>
    <row r="150" spans="2:6" x14ac:dyDescent="0.3">
      <c r="B150" s="38" t="s">
        <v>150</v>
      </c>
      <c r="C150" s="38" t="s">
        <v>255</v>
      </c>
      <c r="D150" s="38" t="s">
        <v>296</v>
      </c>
      <c r="E150" s="38" t="s">
        <v>143</v>
      </c>
      <c r="F150" s="38" t="s">
        <v>137</v>
      </c>
    </row>
    <row r="151" spans="2:6" x14ac:dyDescent="0.3">
      <c r="B151" s="38" t="s">
        <v>151</v>
      </c>
      <c r="C151" s="38" t="s">
        <v>255</v>
      </c>
      <c r="D151" s="38" t="s">
        <v>296</v>
      </c>
      <c r="E151" s="38" t="s">
        <v>143</v>
      </c>
      <c r="F151" s="38" t="s">
        <v>137</v>
      </c>
    </row>
    <row r="152" spans="2:6" x14ac:dyDescent="0.3">
      <c r="B152" s="38" t="s">
        <v>168</v>
      </c>
      <c r="C152" s="38" t="s">
        <v>257</v>
      </c>
      <c r="D152" s="38" t="s">
        <v>296</v>
      </c>
      <c r="E152" s="38" t="s">
        <v>167</v>
      </c>
      <c r="F152" s="38" t="s">
        <v>161</v>
      </c>
    </row>
    <row r="153" spans="2:6" x14ac:dyDescent="0.3">
      <c r="B153" s="38" t="s">
        <v>169</v>
      </c>
      <c r="C153" s="38" t="s">
        <v>257</v>
      </c>
      <c r="D153" s="38" t="s">
        <v>296</v>
      </c>
      <c r="E153" s="38" t="s">
        <v>167</v>
      </c>
      <c r="F153" s="38" t="s">
        <v>161</v>
      </c>
    </row>
    <row r="154" spans="2:6" x14ac:dyDescent="0.3">
      <c r="B154" s="38" t="s">
        <v>170</v>
      </c>
      <c r="C154" s="38" t="s">
        <v>257</v>
      </c>
      <c r="D154" s="38" t="s">
        <v>296</v>
      </c>
      <c r="E154" s="38" t="s">
        <v>167</v>
      </c>
      <c r="F154" s="38" t="s">
        <v>161</v>
      </c>
    </row>
    <row r="155" spans="2:6" x14ac:dyDescent="0.3">
      <c r="B155" s="38" t="s">
        <v>356</v>
      </c>
      <c r="C155" s="38" t="s">
        <v>257</v>
      </c>
      <c r="D155" s="38" t="s">
        <v>296</v>
      </c>
      <c r="E155" s="38" t="s">
        <v>167</v>
      </c>
      <c r="F155" s="38" t="s">
        <v>161</v>
      </c>
    </row>
    <row r="156" spans="2:6" x14ac:dyDescent="0.3">
      <c r="B156" s="38" t="s">
        <v>171</v>
      </c>
      <c r="C156" s="38" t="s">
        <v>257</v>
      </c>
      <c r="D156" s="38" t="s">
        <v>296</v>
      </c>
      <c r="E156" s="38" t="s">
        <v>167</v>
      </c>
      <c r="F156" s="38" t="s">
        <v>161</v>
      </c>
    </row>
    <row r="157" spans="2:6" x14ac:dyDescent="0.3">
      <c r="B157" s="38" t="s">
        <v>357</v>
      </c>
      <c r="C157" s="38" t="s">
        <v>257</v>
      </c>
      <c r="D157" s="38" t="s">
        <v>296</v>
      </c>
      <c r="E157" s="38" t="s">
        <v>167</v>
      </c>
      <c r="F157" s="38" t="s">
        <v>161</v>
      </c>
    </row>
    <row r="158" spans="2:6" x14ac:dyDescent="0.3">
      <c r="B158" s="38" t="s">
        <v>358</v>
      </c>
      <c r="C158" s="38" t="s">
        <v>257</v>
      </c>
      <c r="D158" s="38" t="s">
        <v>296</v>
      </c>
      <c r="E158" s="38" t="s">
        <v>167</v>
      </c>
      <c r="F158" s="38" t="s">
        <v>161</v>
      </c>
    </row>
    <row r="159" spans="2:6" x14ac:dyDescent="0.3">
      <c r="B159" s="38" t="s">
        <v>359</v>
      </c>
      <c r="C159" s="38" t="s">
        <v>257</v>
      </c>
      <c r="D159" s="38" t="s">
        <v>296</v>
      </c>
      <c r="E159" s="38" t="s">
        <v>167</v>
      </c>
      <c r="F159" s="38" t="s">
        <v>161</v>
      </c>
    </row>
    <row r="160" spans="2:6" x14ac:dyDescent="0.3">
      <c r="B160" s="38" t="s">
        <v>360</v>
      </c>
      <c r="C160" s="38" t="s">
        <v>257</v>
      </c>
      <c r="D160" s="38" t="s">
        <v>296</v>
      </c>
      <c r="E160" s="38" t="s">
        <v>167</v>
      </c>
      <c r="F160" s="38" t="s">
        <v>161</v>
      </c>
    </row>
    <row r="161" spans="2:6" x14ac:dyDescent="0.3">
      <c r="B161" s="38" t="s">
        <v>361</v>
      </c>
      <c r="C161" s="38" t="s">
        <v>257</v>
      </c>
      <c r="D161" s="38" t="s">
        <v>296</v>
      </c>
      <c r="E161" s="38" t="s">
        <v>167</v>
      </c>
      <c r="F161" s="38" t="s">
        <v>161</v>
      </c>
    </row>
    <row r="162" spans="2:6" x14ac:dyDescent="0.3">
      <c r="B162" s="38" t="s">
        <v>362</v>
      </c>
      <c r="C162" s="38" t="s">
        <v>257</v>
      </c>
      <c r="D162" s="38" t="s">
        <v>296</v>
      </c>
      <c r="E162" s="38" t="s">
        <v>167</v>
      </c>
      <c r="F162" s="38" t="s">
        <v>161</v>
      </c>
    </row>
    <row r="163" spans="2:6" x14ac:dyDescent="0.3">
      <c r="B163" s="38" t="s">
        <v>363</v>
      </c>
      <c r="C163" s="38" t="s">
        <v>257</v>
      </c>
      <c r="D163" s="38" t="s">
        <v>296</v>
      </c>
      <c r="E163" s="38" t="s">
        <v>167</v>
      </c>
      <c r="F163" s="38" t="s">
        <v>161</v>
      </c>
    </row>
    <row r="164" spans="2:6" x14ac:dyDescent="0.3">
      <c r="B164" s="38" t="s">
        <v>364</v>
      </c>
      <c r="C164" s="38" t="s">
        <v>257</v>
      </c>
      <c r="D164" s="38" t="s">
        <v>296</v>
      </c>
      <c r="E164" s="38" t="s">
        <v>167</v>
      </c>
      <c r="F164" s="38" t="s">
        <v>161</v>
      </c>
    </row>
    <row r="165" spans="2:6" x14ac:dyDescent="0.3">
      <c r="B165" s="38" t="s">
        <v>365</v>
      </c>
      <c r="C165" s="38" t="s">
        <v>257</v>
      </c>
      <c r="D165" s="38" t="s">
        <v>296</v>
      </c>
      <c r="E165" s="38" t="s">
        <v>167</v>
      </c>
      <c r="F165" s="38" t="s">
        <v>161</v>
      </c>
    </row>
    <row r="166" spans="2:6" x14ac:dyDescent="0.3">
      <c r="B166" s="38" t="s">
        <v>366</v>
      </c>
      <c r="C166" s="38" t="s">
        <v>257</v>
      </c>
      <c r="D166" s="38" t="s">
        <v>296</v>
      </c>
      <c r="E166" s="38" t="s">
        <v>167</v>
      </c>
      <c r="F166" s="38" t="s">
        <v>161</v>
      </c>
    </row>
    <row r="167" spans="2:6" x14ac:dyDescent="0.3">
      <c r="B167" s="38" t="s">
        <v>367</v>
      </c>
      <c r="C167" s="38" t="s">
        <v>257</v>
      </c>
      <c r="D167" s="38" t="s">
        <v>296</v>
      </c>
      <c r="E167" s="38" t="s">
        <v>167</v>
      </c>
      <c r="F167" s="38" t="s">
        <v>161</v>
      </c>
    </row>
    <row r="168" spans="2:6" x14ac:dyDescent="0.3">
      <c r="B168" s="38" t="s">
        <v>173</v>
      </c>
      <c r="C168" s="38" t="s">
        <v>257</v>
      </c>
      <c r="D168" s="38" t="s">
        <v>296</v>
      </c>
      <c r="E168" s="38" t="s">
        <v>237</v>
      </c>
      <c r="F168" s="38" t="s">
        <v>161</v>
      </c>
    </row>
    <row r="169" spans="2:6" x14ac:dyDescent="0.3">
      <c r="B169" s="38" t="s">
        <v>174</v>
      </c>
      <c r="C169" s="38" t="s">
        <v>257</v>
      </c>
      <c r="D169" s="38" t="s">
        <v>296</v>
      </c>
      <c r="E169" s="38" t="s">
        <v>167</v>
      </c>
      <c r="F169" s="38" t="s">
        <v>161</v>
      </c>
    </row>
  </sheetData>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DDDB9-988A-4280-92D2-11820494C5C7}">
  <dimension ref="B1:T92"/>
  <sheetViews>
    <sheetView showGridLines="0" zoomScaleNormal="100" workbookViewId="0">
      <pane xSplit="1" ySplit="8" topLeftCell="B9" activePane="bottomRight" state="frozen"/>
      <selection activeCell="H28" sqref="H28"/>
      <selection pane="topRight" activeCell="H28" sqref="H28"/>
      <selection pane="bottomLeft" activeCell="H28" sqref="H28"/>
      <selection pane="bottomRight" activeCell="T10" sqref="T10"/>
    </sheetView>
  </sheetViews>
  <sheetFormatPr defaultColWidth="9.109375" defaultRowHeight="11.4" x14ac:dyDescent="0.2"/>
  <cols>
    <col min="1" max="1" width="2.109375" style="190" customWidth="1"/>
    <col min="2" max="2" width="10.109375" style="190" bestFit="1" customWidth="1"/>
    <col min="3" max="3" width="10" style="190" bestFit="1" customWidth="1"/>
    <col min="4" max="4" width="2.5546875" style="190" customWidth="1"/>
    <col min="5" max="7" width="9.109375" style="190"/>
    <col min="8" max="8" width="13.33203125" style="190" bestFit="1" customWidth="1"/>
    <col min="9" max="9" width="12.6640625" style="190" bestFit="1" customWidth="1"/>
    <col min="10" max="10" width="13.44140625" style="190" bestFit="1" customWidth="1"/>
    <col min="11" max="11" width="17.77734375" style="190" bestFit="1" customWidth="1"/>
    <col min="12" max="12" width="17.109375" style="190" bestFit="1" customWidth="1"/>
    <col min="13" max="13" width="10.88671875" style="190" bestFit="1" customWidth="1"/>
    <col min="14" max="14" width="10.21875" style="190" bestFit="1" customWidth="1"/>
    <col min="15" max="16" width="10.21875" style="190" customWidth="1"/>
    <col min="17" max="17" width="1.77734375" style="190" customWidth="1"/>
    <col min="18" max="18" width="13.77734375" style="190" bestFit="1" customWidth="1"/>
    <col min="19" max="19" width="10.77734375" style="190" customWidth="1"/>
    <col min="20" max="20" width="10.109375" style="190" customWidth="1"/>
    <col min="21" max="16384" width="9.109375" style="190"/>
  </cols>
  <sheetData>
    <row r="1" spans="2:20" ht="12" x14ac:dyDescent="0.25">
      <c r="R1" s="191" t="s">
        <v>495</v>
      </c>
      <c r="S1" s="192">
        <v>46112</v>
      </c>
    </row>
    <row r="2" spans="2:20" ht="12" x14ac:dyDescent="0.25">
      <c r="R2" s="191"/>
    </row>
    <row r="3" spans="2:20" ht="12" x14ac:dyDescent="0.25">
      <c r="R3" s="191"/>
      <c r="S3" s="193"/>
    </row>
    <row r="4" spans="2:20" ht="12" x14ac:dyDescent="0.25">
      <c r="R4" s="191"/>
      <c r="S4" s="194"/>
    </row>
    <row r="5" spans="2:20" ht="12" x14ac:dyDescent="0.25">
      <c r="R5" s="191"/>
      <c r="S5" s="194"/>
    </row>
    <row r="7" spans="2:20" ht="12" x14ac:dyDescent="0.25">
      <c r="E7" s="195" t="s">
        <v>496</v>
      </c>
      <c r="F7" s="196"/>
      <c r="G7" s="196"/>
      <c r="H7" s="196"/>
      <c r="I7" s="196"/>
      <c r="J7" s="196"/>
      <c r="K7" s="196"/>
      <c r="L7" s="196"/>
      <c r="M7" s="196"/>
      <c r="N7" s="196"/>
      <c r="O7" s="196"/>
      <c r="P7" s="196"/>
    </row>
    <row r="8" spans="2:20" ht="13.2" x14ac:dyDescent="0.25">
      <c r="B8" s="79" t="s">
        <v>417</v>
      </c>
      <c r="C8" s="197" t="s">
        <v>497</v>
      </c>
      <c r="E8" s="190" t="s">
        <v>417</v>
      </c>
      <c r="F8" s="190" t="s">
        <v>497</v>
      </c>
      <c r="G8" s="190" t="s">
        <v>498</v>
      </c>
      <c r="H8" s="190" t="s">
        <v>499</v>
      </c>
      <c r="I8" s="190" t="s">
        <v>500</v>
      </c>
      <c r="J8" s="190" t="s">
        <v>501</v>
      </c>
      <c r="K8" s="190" t="s">
        <v>502</v>
      </c>
      <c r="L8" s="190" t="s">
        <v>503</v>
      </c>
      <c r="M8" s="190" t="s">
        <v>504</v>
      </c>
      <c r="N8" s="190" t="s">
        <v>505</v>
      </c>
      <c r="O8" s="190" t="s">
        <v>506</v>
      </c>
      <c r="P8" s="190" t="s">
        <v>507</v>
      </c>
      <c r="R8" s="191" t="s">
        <v>508</v>
      </c>
      <c r="S8" s="191" t="s">
        <v>379</v>
      </c>
      <c r="T8" s="191" t="s">
        <v>380</v>
      </c>
    </row>
    <row r="9" spans="2:20" ht="13.2" x14ac:dyDescent="0.25">
      <c r="B9" s="177">
        <v>45322</v>
      </c>
      <c r="C9" s="198" t="str">
        <f>IFERROR(TEXT(B9,"yyyy") &amp; " Q" &amp; ROUNDUP(MONTH(B9)/3,0),"")</f>
        <v>2024 Q1</v>
      </c>
      <c r="E9" s="199">
        <v>45688</v>
      </c>
      <c r="F9" s="190" t="str">
        <f>"Q"&amp;ROUNDUP(MONTH(Dates[[#This Row],[Date]])/3,0)&amp;" "&amp;YEAR(Dates[[#This Row],[Date]])</f>
        <v>Q1 2025</v>
      </c>
      <c r="G9" s="190">
        <f>YEAR(Dates[[#This Row],[Date]])</f>
        <v>2025</v>
      </c>
      <c r="H9" s="199">
        <v>45688</v>
      </c>
      <c r="I9" s="199">
        <f>EOMONTH(Dates[[#This Row],[Quarter Start]],2)</f>
        <v>45747</v>
      </c>
      <c r="J9" s="190" t="str">
        <f>"Q"&amp;ROUNDUP(MONTH(EOMONTH(Dates[[#This Row],[Date]],-3))/3,0)&amp;" "&amp;YEAR(Dates[[#This Row],[Date]])</f>
        <v>Q4 2025</v>
      </c>
      <c r="K9" s="199">
        <f>EOMONTH(Dates[[#This Row],[Quarter Start]],-3)</f>
        <v>45596</v>
      </c>
      <c r="L9" s="199">
        <f>EOMONTH(Dates[[#This Row],[Prior Quarter Start]],2)</f>
        <v>45657</v>
      </c>
      <c r="M9" s="199">
        <f>DATE(YEAR(Dates[[#This Row],[Date]]), 1, 31)</f>
        <v>45688</v>
      </c>
      <c r="N9" s="199">
        <f>DATE(YEAR(Dates[[#This Row],[Date]]), 12, 31)</f>
        <v>46022</v>
      </c>
      <c r="O9" s="199">
        <f>EOMONTH(Dates[[#This Row],[Year Start]],-12)</f>
        <v>45322</v>
      </c>
      <c r="P9" s="199">
        <f>EOMONTH(Dates[[#This Row],[Year End]],-12)</f>
        <v>45657</v>
      </c>
      <c r="R9" s="190" t="s">
        <v>509</v>
      </c>
      <c r="S9" s="199"/>
      <c r="T9" s="199"/>
    </row>
    <row r="10" spans="2:20" ht="13.2" x14ac:dyDescent="0.25">
      <c r="B10" s="177">
        <v>45351</v>
      </c>
      <c r="C10" s="198" t="str">
        <f t="shared" ref="C10:C73" si="0">IFERROR(TEXT(B10,"yyyy") &amp; " Q" &amp; ROUNDUP(MONTH(B10)/3,0),"")</f>
        <v>2024 Q1</v>
      </c>
      <c r="E10" s="199">
        <f>EOMONTH(E9,1)</f>
        <v>45716</v>
      </c>
      <c r="F10" s="190" t="str">
        <f>"Q"&amp;ROUNDUP(MONTH(Dates[[#This Row],[Date]])/3,0)&amp;" "&amp;YEAR(Dates[[#This Row],[Date]])</f>
        <v>Q1 2025</v>
      </c>
      <c r="G10" s="190">
        <f>YEAR(Dates[[#This Row],[Date]])</f>
        <v>2025</v>
      </c>
      <c r="H10" s="199">
        <v>45688</v>
      </c>
      <c r="I10" s="199">
        <f>EOMONTH(Dates[[#This Row],[Quarter Start]],2)</f>
        <v>45747</v>
      </c>
      <c r="J10" s="190" t="str">
        <f>"Q"&amp;ROUNDUP(MONTH(EOMONTH(Dates[[#This Row],[Date]],-3))/3,0)&amp;" "&amp;YEAR(Dates[[#This Row],[Date]])</f>
        <v>Q4 2025</v>
      </c>
      <c r="K10" s="199">
        <f>EOMONTH(Dates[[#This Row],[Quarter Start]],-3)</f>
        <v>45596</v>
      </c>
      <c r="L10" s="199">
        <f>EOMONTH(Dates[[#This Row],[Prior Quarter Start]],2)</f>
        <v>45657</v>
      </c>
      <c r="M10" s="199">
        <f>DATE(YEAR(Dates[[#This Row],[Date]]), 1, 31)</f>
        <v>45688</v>
      </c>
      <c r="N10" s="199">
        <f>DATE(YEAR(Dates[[#This Row],[Date]]), 12, 31)</f>
        <v>46022</v>
      </c>
      <c r="O10" s="199">
        <f>EOMONTH(Dates[[#This Row],[Year Start]],-12)</f>
        <v>45322</v>
      </c>
      <c r="P10" s="199">
        <f>EOMONTH(Dates[[#This Row],[Year End]],-12)</f>
        <v>45657</v>
      </c>
      <c r="R10" s="190" t="s">
        <v>510</v>
      </c>
      <c r="S10" s="199">
        <v>46081</v>
      </c>
      <c r="T10" s="199">
        <v>46081</v>
      </c>
    </row>
    <row r="11" spans="2:20" ht="13.2" x14ac:dyDescent="0.25">
      <c r="B11" s="177">
        <v>45382</v>
      </c>
      <c r="C11" s="198" t="str">
        <f t="shared" si="0"/>
        <v>2024 Q1</v>
      </c>
      <c r="E11" s="199">
        <f t="shared" ref="E11:E32" si="1">EOMONTH(E10,1)</f>
        <v>45747</v>
      </c>
      <c r="F11" s="190" t="str">
        <f>"Q"&amp;ROUNDUP(MONTH(Dates[[#This Row],[Date]])/3,0)&amp;" "&amp;YEAR(Dates[[#This Row],[Date]])</f>
        <v>Q1 2025</v>
      </c>
      <c r="G11" s="190">
        <f>YEAR(Dates[[#This Row],[Date]])</f>
        <v>2025</v>
      </c>
      <c r="H11" s="199">
        <v>45688</v>
      </c>
      <c r="I11" s="199">
        <f>EOMONTH(Dates[[#This Row],[Quarter Start]],2)</f>
        <v>45747</v>
      </c>
      <c r="J11" s="190" t="str">
        <f>"Q"&amp;ROUNDUP(MONTH(EOMONTH(Dates[[#This Row],[Date]],-3))/3,0)&amp;" "&amp;YEAR(Dates[[#This Row],[Date]])</f>
        <v>Q4 2025</v>
      </c>
      <c r="K11" s="199">
        <f>EOMONTH(Dates[[#This Row],[Quarter Start]],-3)</f>
        <v>45596</v>
      </c>
      <c r="L11" s="199">
        <f>EOMONTH(Dates[[#This Row],[Prior Quarter Start]],2)</f>
        <v>45657</v>
      </c>
      <c r="M11" s="199">
        <f>DATE(YEAR(Dates[[#This Row],[Date]]), 1, 31)</f>
        <v>45688</v>
      </c>
      <c r="N11" s="199">
        <f>DATE(YEAR(Dates[[#This Row],[Date]]), 12, 31)</f>
        <v>46022</v>
      </c>
      <c r="O11" s="199">
        <f>EOMONTH(Dates[[#This Row],[Year Start]],-12)</f>
        <v>45322</v>
      </c>
      <c r="P11" s="199">
        <f>EOMONTH(Dates[[#This Row],[Year End]],-12)</f>
        <v>45657</v>
      </c>
      <c r="R11" s="190" t="s">
        <v>377</v>
      </c>
      <c r="S11" s="199">
        <v>46112</v>
      </c>
      <c r="T11" s="199">
        <v>46112</v>
      </c>
    </row>
    <row r="12" spans="2:20" ht="13.2" x14ac:dyDescent="0.25">
      <c r="B12" s="177">
        <v>45412</v>
      </c>
      <c r="C12" s="198" t="str">
        <f t="shared" si="0"/>
        <v>2024 Q2</v>
      </c>
      <c r="E12" s="199">
        <f t="shared" si="1"/>
        <v>45777</v>
      </c>
      <c r="F12" s="190" t="str">
        <f>"Q"&amp;ROUNDUP(MONTH(Dates[[#This Row],[Date]])/3,0)&amp;" "&amp;YEAR(Dates[[#This Row],[Date]])</f>
        <v>Q2 2025</v>
      </c>
      <c r="G12" s="190">
        <f>YEAR(Dates[[#This Row],[Date]])</f>
        <v>2025</v>
      </c>
      <c r="H12" s="199">
        <v>45777</v>
      </c>
      <c r="I12" s="199">
        <f>EOMONTH(Dates[[#This Row],[Quarter Start]],2)</f>
        <v>45838</v>
      </c>
      <c r="J12" s="190" t="str">
        <f>"Q"&amp;ROUNDUP(MONTH(EOMONTH(Dates[[#This Row],[Date]],-3))/3,0)&amp;" "&amp;YEAR(Dates[[#This Row],[Date]])</f>
        <v>Q1 2025</v>
      </c>
      <c r="K12" s="199">
        <f>EOMONTH(Dates[[#This Row],[Quarter Start]],-3)</f>
        <v>45688</v>
      </c>
      <c r="L12" s="199">
        <f>EOMONTH(Dates[[#This Row],[Prior Quarter Start]],2)</f>
        <v>45747</v>
      </c>
      <c r="M12" s="199">
        <f>DATE(YEAR(Dates[[#This Row],[Date]]), 1, 31)</f>
        <v>45688</v>
      </c>
      <c r="N12" s="199">
        <f>DATE(YEAR(Dates[[#This Row],[Date]]), 12, 31)</f>
        <v>46022</v>
      </c>
      <c r="O12" s="199">
        <f>EOMONTH(Dates[[#This Row],[Year Start]],-12)</f>
        <v>45322</v>
      </c>
      <c r="P12" s="199">
        <f>EOMONTH(Dates[[#This Row],[Year End]],-12)</f>
        <v>45657</v>
      </c>
      <c r="R12" s="190" t="s">
        <v>501</v>
      </c>
      <c r="S12" s="199">
        <v>45961</v>
      </c>
      <c r="T12" s="199">
        <v>46022</v>
      </c>
    </row>
    <row r="13" spans="2:20" ht="13.2" x14ac:dyDescent="0.25">
      <c r="B13" s="177">
        <v>45443</v>
      </c>
      <c r="C13" s="198" t="str">
        <f t="shared" si="0"/>
        <v>2024 Q2</v>
      </c>
      <c r="E13" s="199">
        <f t="shared" si="1"/>
        <v>45808</v>
      </c>
      <c r="F13" s="190" t="str">
        <f>"Q"&amp;ROUNDUP(MONTH(Dates[[#This Row],[Date]])/3,0)&amp;" "&amp;YEAR(Dates[[#This Row],[Date]])</f>
        <v>Q2 2025</v>
      </c>
      <c r="G13" s="190">
        <f>YEAR(Dates[[#This Row],[Date]])</f>
        <v>2025</v>
      </c>
      <c r="H13" s="199">
        <v>45777</v>
      </c>
      <c r="I13" s="199">
        <f>EOMONTH(Dates[[#This Row],[Quarter Start]],2)</f>
        <v>45838</v>
      </c>
      <c r="J13" s="190" t="str">
        <f>"Q"&amp;ROUNDUP(MONTH(EOMONTH(Dates[[#This Row],[Date]],-3))/3,0)&amp;" "&amp;YEAR(Dates[[#This Row],[Date]])</f>
        <v>Q1 2025</v>
      </c>
      <c r="K13" s="199">
        <f>EOMONTH(Dates[[#This Row],[Quarter Start]],-3)</f>
        <v>45688</v>
      </c>
      <c r="L13" s="199">
        <f>EOMONTH(Dates[[#This Row],[Prior Quarter Start]],2)</f>
        <v>45747</v>
      </c>
      <c r="M13" s="199">
        <f>DATE(YEAR(Dates[[#This Row],[Date]]), 1, 31)</f>
        <v>45688</v>
      </c>
      <c r="N13" s="199">
        <f>DATE(YEAR(Dates[[#This Row],[Date]]), 12, 31)</f>
        <v>46022</v>
      </c>
      <c r="O13" s="199">
        <f>EOMONTH(Dates[[#This Row],[Year Start]],-12)</f>
        <v>45322</v>
      </c>
      <c r="P13" s="199">
        <f>EOMONTH(Dates[[#This Row],[Year End]],-12)</f>
        <v>45657</v>
      </c>
      <c r="R13" s="190" t="s">
        <v>511</v>
      </c>
      <c r="S13" s="199">
        <v>46053</v>
      </c>
      <c r="T13" s="199">
        <v>46112</v>
      </c>
    </row>
    <row r="14" spans="2:20" ht="13.2" x14ac:dyDescent="0.25">
      <c r="B14" s="177">
        <v>45473</v>
      </c>
      <c r="C14" s="198" t="str">
        <f t="shared" si="0"/>
        <v>2024 Q2</v>
      </c>
      <c r="E14" s="199">
        <f t="shared" si="1"/>
        <v>45838</v>
      </c>
      <c r="F14" s="190" t="str">
        <f>"Q"&amp;ROUNDUP(MONTH(Dates[[#This Row],[Date]])/3,0)&amp;" "&amp;YEAR(Dates[[#This Row],[Date]])</f>
        <v>Q2 2025</v>
      </c>
      <c r="G14" s="190">
        <f>YEAR(Dates[[#This Row],[Date]])</f>
        <v>2025</v>
      </c>
      <c r="H14" s="199">
        <v>45777</v>
      </c>
      <c r="I14" s="199">
        <f>EOMONTH(Dates[[#This Row],[Quarter Start]],2)</f>
        <v>45838</v>
      </c>
      <c r="J14" s="190" t="str">
        <f>"Q"&amp;ROUNDUP(MONTH(EOMONTH(Dates[[#This Row],[Date]],-3))/3,0)&amp;" "&amp;YEAR(Dates[[#This Row],[Date]])</f>
        <v>Q1 2025</v>
      </c>
      <c r="K14" s="199">
        <f>EOMONTH(Dates[[#This Row],[Quarter Start]],-3)</f>
        <v>45688</v>
      </c>
      <c r="L14" s="199">
        <f>EOMONTH(Dates[[#This Row],[Prior Quarter Start]],2)</f>
        <v>45747</v>
      </c>
      <c r="M14" s="199">
        <f>DATE(YEAR(Dates[[#This Row],[Date]]), 1, 31)</f>
        <v>45688</v>
      </c>
      <c r="N14" s="199">
        <f>DATE(YEAR(Dates[[#This Row],[Date]]), 12, 31)</f>
        <v>46022</v>
      </c>
      <c r="O14" s="199">
        <f>EOMONTH(Dates[[#This Row],[Year Start]],-12)</f>
        <v>45322</v>
      </c>
      <c r="P14" s="199">
        <f>EOMONTH(Dates[[#This Row],[Year End]],-12)</f>
        <v>45657</v>
      </c>
      <c r="R14" s="190" t="s">
        <v>512</v>
      </c>
      <c r="S14" s="199">
        <v>46053</v>
      </c>
      <c r="T14" s="199">
        <v>46112</v>
      </c>
    </row>
    <row r="15" spans="2:20" ht="13.2" x14ac:dyDescent="0.25">
      <c r="B15" s="177">
        <v>45504</v>
      </c>
      <c r="C15" s="198" t="str">
        <f t="shared" si="0"/>
        <v>2024 Q3</v>
      </c>
      <c r="E15" s="199">
        <f t="shared" si="1"/>
        <v>45869</v>
      </c>
      <c r="F15" s="190" t="str">
        <f>"Q"&amp;ROUNDUP(MONTH(Dates[[#This Row],[Date]])/3,0)&amp;" "&amp;YEAR(Dates[[#This Row],[Date]])</f>
        <v>Q3 2025</v>
      </c>
      <c r="G15" s="190">
        <f>YEAR(Dates[[#This Row],[Date]])</f>
        <v>2025</v>
      </c>
      <c r="H15" s="199">
        <v>45869</v>
      </c>
      <c r="I15" s="199">
        <f>EOMONTH(Dates[[#This Row],[Quarter Start]],2)</f>
        <v>45930</v>
      </c>
      <c r="J15" s="190" t="str">
        <f>"Q"&amp;ROUNDUP(MONTH(EOMONTH(Dates[[#This Row],[Date]],-3))/3,0)&amp;" "&amp;YEAR(Dates[[#This Row],[Date]])</f>
        <v>Q2 2025</v>
      </c>
      <c r="K15" s="199">
        <f>EOMONTH(Dates[[#This Row],[Quarter Start]],-3)</f>
        <v>45777</v>
      </c>
      <c r="L15" s="199">
        <f>EOMONTH(Dates[[#This Row],[Prior Quarter Start]],2)</f>
        <v>45838</v>
      </c>
      <c r="M15" s="199">
        <f>DATE(YEAR(Dates[[#This Row],[Date]]), 1, 31)</f>
        <v>45688</v>
      </c>
      <c r="N15" s="199">
        <f>DATE(YEAR(Dates[[#This Row],[Date]]), 12, 31)</f>
        <v>46022</v>
      </c>
      <c r="O15" s="199">
        <f>EOMONTH(Dates[[#This Row],[Year Start]],-12)</f>
        <v>45322</v>
      </c>
      <c r="P15" s="199">
        <f>EOMONTH(Dates[[#This Row],[Year End]],-12)</f>
        <v>45657</v>
      </c>
      <c r="R15" s="190" t="s">
        <v>513</v>
      </c>
      <c r="S15" s="199">
        <v>45688</v>
      </c>
      <c r="T15" s="199">
        <v>45747</v>
      </c>
    </row>
    <row r="16" spans="2:20" ht="13.2" x14ac:dyDescent="0.25">
      <c r="B16" s="177">
        <v>45535</v>
      </c>
      <c r="C16" s="198" t="str">
        <f t="shared" si="0"/>
        <v>2024 Q3</v>
      </c>
      <c r="E16" s="199">
        <f t="shared" si="1"/>
        <v>45900</v>
      </c>
      <c r="F16" s="190" t="str">
        <f>"Q"&amp;ROUNDUP(MONTH(Dates[[#This Row],[Date]])/3,0)&amp;" "&amp;YEAR(Dates[[#This Row],[Date]])</f>
        <v>Q3 2025</v>
      </c>
      <c r="G16" s="190">
        <f>YEAR(Dates[[#This Row],[Date]])</f>
        <v>2025</v>
      </c>
      <c r="H16" s="199">
        <v>45869</v>
      </c>
      <c r="I16" s="199">
        <f>EOMONTH(Dates[[#This Row],[Quarter Start]],2)</f>
        <v>45930</v>
      </c>
      <c r="J16" s="190" t="str">
        <f>"Q"&amp;ROUNDUP(MONTH(EOMONTH(Dates[[#This Row],[Date]],-3))/3,0)&amp;" "&amp;YEAR(Dates[[#This Row],[Date]])</f>
        <v>Q2 2025</v>
      </c>
      <c r="K16" s="199">
        <f>EOMONTH(Dates[[#This Row],[Quarter Start]],-3)</f>
        <v>45777</v>
      </c>
      <c r="L16" s="199">
        <f>EOMONTH(Dates[[#This Row],[Prior Quarter Start]],2)</f>
        <v>45838</v>
      </c>
      <c r="M16" s="199">
        <f>DATE(YEAR(Dates[[#This Row],[Date]]), 1, 31)</f>
        <v>45688</v>
      </c>
      <c r="N16" s="199">
        <f>DATE(YEAR(Dates[[#This Row],[Date]]), 12, 31)</f>
        <v>46022</v>
      </c>
      <c r="O16" s="199">
        <f>EOMONTH(Dates[[#This Row],[Year Start]],-12)</f>
        <v>45322</v>
      </c>
      <c r="P16" s="199">
        <f>EOMONTH(Dates[[#This Row],[Year End]],-12)</f>
        <v>45657</v>
      </c>
      <c r="R16" s="190" t="s">
        <v>514</v>
      </c>
      <c r="S16" s="199">
        <v>46053</v>
      </c>
      <c r="T16" s="199">
        <v>46387</v>
      </c>
    </row>
    <row r="17" spans="2:20" ht="13.2" x14ac:dyDescent="0.25">
      <c r="B17" s="177">
        <v>45565</v>
      </c>
      <c r="C17" s="198" t="str">
        <f t="shared" si="0"/>
        <v>2024 Q3</v>
      </c>
      <c r="E17" s="199">
        <f t="shared" si="1"/>
        <v>45930</v>
      </c>
      <c r="F17" s="190" t="str">
        <f>"Q"&amp;ROUNDUP(MONTH(Dates[[#This Row],[Date]])/3,0)&amp;" "&amp;YEAR(Dates[[#This Row],[Date]])</f>
        <v>Q3 2025</v>
      </c>
      <c r="G17" s="190">
        <f>YEAR(Dates[[#This Row],[Date]])</f>
        <v>2025</v>
      </c>
      <c r="H17" s="199">
        <v>45869</v>
      </c>
      <c r="I17" s="199">
        <f>EOMONTH(Dates[[#This Row],[Quarter Start]],2)</f>
        <v>45930</v>
      </c>
      <c r="J17" s="190" t="str">
        <f>"Q"&amp;ROUNDUP(MONTH(EOMONTH(Dates[[#This Row],[Date]],-3))/3,0)&amp;" "&amp;YEAR(Dates[[#This Row],[Date]])</f>
        <v>Q2 2025</v>
      </c>
      <c r="K17" s="199">
        <f>EOMONTH(Dates[[#This Row],[Quarter Start]],-3)</f>
        <v>45777</v>
      </c>
      <c r="L17" s="199">
        <f>EOMONTH(Dates[[#This Row],[Prior Quarter Start]],2)</f>
        <v>45838</v>
      </c>
      <c r="M17" s="199">
        <f>DATE(YEAR(Dates[[#This Row],[Date]]), 1, 31)</f>
        <v>45688</v>
      </c>
      <c r="N17" s="199">
        <f>DATE(YEAR(Dates[[#This Row],[Date]]), 12, 31)</f>
        <v>46022</v>
      </c>
      <c r="O17" s="199">
        <f>EOMONTH(Dates[[#This Row],[Year Start]],-12)</f>
        <v>45322</v>
      </c>
      <c r="P17" s="199">
        <f>EOMONTH(Dates[[#This Row],[Year End]],-12)</f>
        <v>45657</v>
      </c>
      <c r="R17" s="190" t="s">
        <v>515</v>
      </c>
      <c r="S17" s="199">
        <v>45688</v>
      </c>
      <c r="T17" s="199">
        <v>46022</v>
      </c>
    </row>
    <row r="18" spans="2:20" ht="13.2" x14ac:dyDescent="0.25">
      <c r="B18" s="177">
        <v>45596</v>
      </c>
      <c r="C18" s="198" t="str">
        <f t="shared" si="0"/>
        <v>2024 Q4</v>
      </c>
      <c r="E18" s="199">
        <f t="shared" si="1"/>
        <v>45961</v>
      </c>
      <c r="F18" s="190" t="str">
        <f>"Q"&amp;ROUNDUP(MONTH(Dates[[#This Row],[Date]])/3,0)&amp;" "&amp;YEAR(Dates[[#This Row],[Date]])</f>
        <v>Q4 2025</v>
      </c>
      <c r="G18" s="190">
        <f>YEAR(Dates[[#This Row],[Date]])</f>
        <v>2025</v>
      </c>
      <c r="H18" s="199">
        <v>45869</v>
      </c>
      <c r="I18" s="199">
        <f>EOMONTH(Dates[[#This Row],[Quarter Start]],2)</f>
        <v>45930</v>
      </c>
      <c r="J18" s="190" t="str">
        <f>"Q"&amp;ROUNDUP(MONTH(EOMONTH(Dates[[#This Row],[Date]],-3))/3,0)&amp;" "&amp;YEAR(Dates[[#This Row],[Date]])</f>
        <v>Q3 2025</v>
      </c>
      <c r="K18" s="199">
        <f>EOMONTH(Dates[[#This Row],[Quarter Start]],-3)</f>
        <v>45777</v>
      </c>
      <c r="L18" s="199">
        <f>EOMONTH(Dates[[#This Row],[Prior Quarter Start]],2)</f>
        <v>45838</v>
      </c>
      <c r="M18" s="199">
        <f>DATE(YEAR(Dates[[#This Row],[Date]]), 1, 31)</f>
        <v>45688</v>
      </c>
      <c r="N18" s="199">
        <f>DATE(YEAR(Dates[[#This Row],[Date]]), 12, 31)</f>
        <v>46022</v>
      </c>
      <c r="O18" s="199">
        <f>EOMONTH(Dates[[#This Row],[Year Start]],-12)</f>
        <v>45322</v>
      </c>
      <c r="P18" s="199">
        <f>EOMONTH(Dates[[#This Row],[Year End]],-12)</f>
        <v>45657</v>
      </c>
      <c r="R18" s="190" t="s">
        <v>516</v>
      </c>
      <c r="S18" s="199">
        <v>45777</v>
      </c>
      <c r="T18" s="199">
        <v>46112</v>
      </c>
    </row>
    <row r="19" spans="2:20" ht="13.2" x14ac:dyDescent="0.25">
      <c r="B19" s="177">
        <v>45626</v>
      </c>
      <c r="C19" s="198" t="str">
        <f t="shared" si="0"/>
        <v>2024 Q4</v>
      </c>
      <c r="E19" s="199">
        <f t="shared" si="1"/>
        <v>45991</v>
      </c>
      <c r="F19" s="190" t="str">
        <f>"Q"&amp;ROUNDUP(MONTH(Dates[[#This Row],[Date]])/3,0)&amp;" "&amp;YEAR(Dates[[#This Row],[Date]])</f>
        <v>Q4 2025</v>
      </c>
      <c r="G19" s="190">
        <f>YEAR(Dates[[#This Row],[Date]])</f>
        <v>2025</v>
      </c>
      <c r="H19" s="199">
        <v>45869</v>
      </c>
      <c r="I19" s="199">
        <f>EOMONTH(Dates[[#This Row],[Quarter Start]],2)</f>
        <v>45930</v>
      </c>
      <c r="J19" s="190" t="str">
        <f>"Q"&amp;ROUNDUP(MONTH(EOMONTH(Dates[[#This Row],[Date]],-3))/3,0)&amp;" "&amp;YEAR(Dates[[#This Row],[Date]])</f>
        <v>Q3 2025</v>
      </c>
      <c r="K19" s="199">
        <f>EOMONTH(Dates[[#This Row],[Quarter Start]],-3)</f>
        <v>45777</v>
      </c>
      <c r="L19" s="199">
        <f>EOMONTH(Dates[[#This Row],[Prior Quarter Start]],2)</f>
        <v>45838</v>
      </c>
      <c r="M19" s="199">
        <f>DATE(YEAR(Dates[[#This Row],[Date]]), 1, 31)</f>
        <v>45688</v>
      </c>
      <c r="N19" s="199">
        <f>DATE(YEAR(Dates[[#This Row],[Date]]), 12, 31)</f>
        <v>46022</v>
      </c>
      <c r="O19" s="199">
        <f>EOMONTH(Dates[[#This Row],[Year Start]],-12)</f>
        <v>45322</v>
      </c>
      <c r="P19" s="199">
        <f>EOMONTH(Dates[[#This Row],[Year End]],-12)</f>
        <v>45657</v>
      </c>
    </row>
    <row r="20" spans="2:20" ht="13.2" x14ac:dyDescent="0.25">
      <c r="B20" s="177">
        <v>45657</v>
      </c>
      <c r="C20" s="198" t="str">
        <f t="shared" si="0"/>
        <v>2024 Q4</v>
      </c>
      <c r="E20" s="199">
        <f t="shared" si="1"/>
        <v>46022</v>
      </c>
      <c r="F20" s="190" t="str">
        <f>"Q"&amp;ROUNDUP(MONTH(Dates[[#This Row],[Date]])/3,0)&amp;" "&amp;YEAR(Dates[[#This Row],[Date]])</f>
        <v>Q4 2025</v>
      </c>
      <c r="G20" s="190">
        <f>YEAR(Dates[[#This Row],[Date]])</f>
        <v>2025</v>
      </c>
      <c r="H20" s="199">
        <v>45869</v>
      </c>
      <c r="I20" s="199">
        <f>EOMONTH(Dates[[#This Row],[Quarter Start]],2)</f>
        <v>45930</v>
      </c>
      <c r="J20" s="190" t="str">
        <f>"Q"&amp;ROUNDUP(MONTH(EOMONTH(Dates[[#This Row],[Date]],-3))/3,0)&amp;" "&amp;YEAR(Dates[[#This Row],[Date]])</f>
        <v>Q3 2025</v>
      </c>
      <c r="K20" s="199">
        <f>EOMONTH(Dates[[#This Row],[Quarter Start]],-3)</f>
        <v>45777</v>
      </c>
      <c r="L20" s="199">
        <f>EOMONTH(Dates[[#This Row],[Prior Quarter Start]],2)</f>
        <v>45838</v>
      </c>
      <c r="M20" s="199">
        <f>DATE(YEAR(Dates[[#This Row],[Date]]), 1, 31)</f>
        <v>45688</v>
      </c>
      <c r="N20" s="199">
        <f>DATE(YEAR(Dates[[#This Row],[Date]]), 12, 31)</f>
        <v>46022</v>
      </c>
      <c r="O20" s="199">
        <f>EOMONTH(Dates[[#This Row],[Year Start]],-12)</f>
        <v>45322</v>
      </c>
      <c r="P20" s="199">
        <f>EOMONTH(Dates[[#This Row],[Year End]],-12)</f>
        <v>45657</v>
      </c>
    </row>
    <row r="21" spans="2:20" ht="13.2" x14ac:dyDescent="0.25">
      <c r="B21" s="177">
        <v>45688</v>
      </c>
      <c r="C21" s="198" t="str">
        <f t="shared" si="0"/>
        <v>2025 Q1</v>
      </c>
      <c r="E21" s="199">
        <f t="shared" si="1"/>
        <v>46053</v>
      </c>
      <c r="F21" s="190" t="str">
        <f>"Q"&amp;ROUNDUP(MONTH(Dates[[#This Row],[Date]])/3,0)&amp;" "&amp;YEAR(Dates[[#This Row],[Date]])</f>
        <v>Q1 2026</v>
      </c>
      <c r="G21" s="190">
        <f>YEAR(Dates[[#This Row],[Date]])</f>
        <v>2026</v>
      </c>
      <c r="H21" s="199">
        <v>46053</v>
      </c>
      <c r="I21" s="199">
        <f>EOMONTH(Dates[[#This Row],[Quarter Start]],2)</f>
        <v>46112</v>
      </c>
      <c r="J21" s="190" t="str">
        <f>"Q"&amp;ROUNDUP(MONTH(EOMONTH(Dates[[#This Row],[Date]],-3))/3,0)&amp;" "&amp;YEAR(Dates[[#This Row],[Date]])</f>
        <v>Q4 2026</v>
      </c>
      <c r="K21" s="199">
        <f>EOMONTH(Dates[[#This Row],[Quarter Start]],-3)</f>
        <v>45961</v>
      </c>
      <c r="L21" s="199">
        <f>EOMONTH(Dates[[#This Row],[Prior Quarter Start]],2)</f>
        <v>46022</v>
      </c>
      <c r="M21" s="199">
        <f>DATE(YEAR(Dates[[#This Row],[Date]]), 1, 31)</f>
        <v>46053</v>
      </c>
      <c r="N21" s="199">
        <f>DATE(YEAR(Dates[[#This Row],[Date]]), 12, 31)</f>
        <v>46387</v>
      </c>
      <c r="O21" s="199">
        <f>EOMONTH(Dates[[#This Row],[Year Start]],-12)</f>
        <v>45688</v>
      </c>
      <c r="P21" s="199">
        <f>EOMONTH(Dates[[#This Row],[Year End]],-12)</f>
        <v>46022</v>
      </c>
    </row>
    <row r="22" spans="2:20" ht="13.2" x14ac:dyDescent="0.25">
      <c r="B22" s="177">
        <v>45716</v>
      </c>
      <c r="C22" s="198" t="str">
        <f t="shared" si="0"/>
        <v>2025 Q1</v>
      </c>
      <c r="E22" s="199">
        <f t="shared" si="1"/>
        <v>46081</v>
      </c>
      <c r="F22" s="190" t="str">
        <f>"Q"&amp;ROUNDUP(MONTH(Dates[[#This Row],[Date]])/3,0)&amp;" "&amp;YEAR(Dates[[#This Row],[Date]])</f>
        <v>Q1 2026</v>
      </c>
      <c r="G22" s="190">
        <f>YEAR(Dates[[#This Row],[Date]])</f>
        <v>2026</v>
      </c>
      <c r="H22" s="199">
        <v>46053</v>
      </c>
      <c r="I22" s="199">
        <f>EOMONTH(Dates[[#This Row],[Quarter Start]],2)</f>
        <v>46112</v>
      </c>
      <c r="J22" s="190" t="str">
        <f>"Q"&amp;ROUNDUP(MONTH(EOMONTH(Dates[[#This Row],[Date]],-3))/3,0)&amp;" "&amp;YEAR(Dates[[#This Row],[Date]])</f>
        <v>Q4 2026</v>
      </c>
      <c r="K22" s="199">
        <f>EOMONTH(Dates[[#This Row],[Quarter Start]],-3)</f>
        <v>45961</v>
      </c>
      <c r="L22" s="199">
        <f>EOMONTH(Dates[[#This Row],[Prior Quarter Start]],2)</f>
        <v>46022</v>
      </c>
      <c r="M22" s="199">
        <f>DATE(YEAR(Dates[[#This Row],[Date]]), 1, 31)</f>
        <v>46053</v>
      </c>
      <c r="N22" s="199">
        <f>DATE(YEAR(Dates[[#This Row],[Date]]), 12, 31)</f>
        <v>46387</v>
      </c>
      <c r="O22" s="199">
        <f>EOMONTH(Dates[[#This Row],[Year Start]],-12)</f>
        <v>45688</v>
      </c>
      <c r="P22" s="199">
        <f>EOMONTH(Dates[[#This Row],[Year End]],-12)</f>
        <v>46022</v>
      </c>
    </row>
    <row r="23" spans="2:20" ht="13.2" x14ac:dyDescent="0.25">
      <c r="B23" s="177">
        <v>45747</v>
      </c>
      <c r="C23" s="198" t="str">
        <f t="shared" si="0"/>
        <v>2025 Q1</v>
      </c>
      <c r="E23" s="199">
        <f t="shared" si="1"/>
        <v>46112</v>
      </c>
      <c r="F23" s="190" t="str">
        <f>"Q"&amp;ROUNDUP(MONTH(Dates[[#This Row],[Date]])/3,0)&amp;" "&amp;YEAR(Dates[[#This Row],[Date]])</f>
        <v>Q1 2026</v>
      </c>
      <c r="G23" s="190">
        <f>YEAR(Dates[[#This Row],[Date]])</f>
        <v>2026</v>
      </c>
      <c r="H23" s="199">
        <v>46053</v>
      </c>
      <c r="I23" s="199">
        <f>EOMONTH(Dates[[#This Row],[Quarter Start]],2)</f>
        <v>46112</v>
      </c>
      <c r="J23" s="190" t="str">
        <f>"Q"&amp;ROUNDUP(MONTH(EOMONTH(Dates[[#This Row],[Date]],-3))/3,0)&amp;" "&amp;YEAR(Dates[[#This Row],[Date]])</f>
        <v>Q4 2026</v>
      </c>
      <c r="K23" s="199">
        <f>EOMONTH(Dates[[#This Row],[Quarter Start]],-3)</f>
        <v>45961</v>
      </c>
      <c r="L23" s="199">
        <f>EOMONTH(Dates[[#This Row],[Prior Quarter Start]],2)</f>
        <v>46022</v>
      </c>
      <c r="M23" s="199">
        <f>DATE(YEAR(Dates[[#This Row],[Date]]), 1, 31)</f>
        <v>46053</v>
      </c>
      <c r="N23" s="199">
        <f>DATE(YEAR(Dates[[#This Row],[Date]]), 12, 31)</f>
        <v>46387</v>
      </c>
      <c r="O23" s="199">
        <f>EOMONTH(Dates[[#This Row],[Year Start]],-12)</f>
        <v>45688</v>
      </c>
      <c r="P23" s="199">
        <f>EOMONTH(Dates[[#This Row],[Year End]],-12)</f>
        <v>46022</v>
      </c>
    </row>
    <row r="24" spans="2:20" ht="13.2" x14ac:dyDescent="0.25">
      <c r="B24" s="177">
        <v>45777</v>
      </c>
      <c r="C24" s="198" t="str">
        <f t="shared" si="0"/>
        <v>2025 Q2</v>
      </c>
      <c r="E24" s="199">
        <f t="shared" si="1"/>
        <v>46142</v>
      </c>
      <c r="F24" s="190" t="str">
        <f>"Q"&amp;ROUNDUP(MONTH(Dates[[#This Row],[Date]])/3,0)&amp;" "&amp;YEAR(Dates[[#This Row],[Date]])</f>
        <v>Q2 2026</v>
      </c>
      <c r="G24" s="190">
        <f>YEAR(Dates[[#This Row],[Date]])</f>
        <v>2026</v>
      </c>
      <c r="H24" s="199">
        <v>46142</v>
      </c>
      <c r="I24" s="199">
        <f>EOMONTH(Dates[[#This Row],[Quarter Start]],2)</f>
        <v>46203</v>
      </c>
      <c r="J24" s="190" t="str">
        <f>"Q"&amp;ROUNDUP(MONTH(EOMONTH(Dates[[#This Row],[Date]],-3))/3,0)&amp;" "&amp;YEAR(Dates[[#This Row],[Date]])</f>
        <v>Q1 2026</v>
      </c>
      <c r="K24" s="199">
        <f>EOMONTH(Dates[[#This Row],[Quarter Start]],-3)</f>
        <v>46053</v>
      </c>
      <c r="L24" s="199">
        <f>EOMONTH(Dates[[#This Row],[Prior Quarter Start]],2)</f>
        <v>46112</v>
      </c>
      <c r="M24" s="199">
        <f>DATE(YEAR(Dates[[#This Row],[Date]]), 1, 31)</f>
        <v>46053</v>
      </c>
      <c r="N24" s="199">
        <f>DATE(YEAR(Dates[[#This Row],[Date]]), 12, 31)</f>
        <v>46387</v>
      </c>
      <c r="O24" s="199">
        <f>EOMONTH(Dates[[#This Row],[Year Start]],-12)</f>
        <v>45688</v>
      </c>
      <c r="P24" s="199">
        <f>EOMONTH(Dates[[#This Row],[Year End]],-12)</f>
        <v>46022</v>
      </c>
    </row>
    <row r="25" spans="2:20" ht="13.2" x14ac:dyDescent="0.25">
      <c r="B25" s="177">
        <v>45808</v>
      </c>
      <c r="C25" s="198" t="str">
        <f t="shared" si="0"/>
        <v>2025 Q2</v>
      </c>
      <c r="E25" s="199">
        <f t="shared" si="1"/>
        <v>46173</v>
      </c>
      <c r="F25" s="190" t="str">
        <f>"Q"&amp;ROUNDUP(MONTH(Dates[[#This Row],[Date]])/3,0)&amp;" "&amp;YEAR(Dates[[#This Row],[Date]])</f>
        <v>Q2 2026</v>
      </c>
      <c r="G25" s="190">
        <f>YEAR(Dates[[#This Row],[Date]])</f>
        <v>2026</v>
      </c>
      <c r="H25" s="199">
        <v>46142</v>
      </c>
      <c r="I25" s="199">
        <f>EOMONTH(Dates[[#This Row],[Quarter Start]],2)</f>
        <v>46203</v>
      </c>
      <c r="J25" s="190" t="str">
        <f>"Q"&amp;ROUNDUP(MONTH(EOMONTH(Dates[[#This Row],[Date]],-3))/3,0)&amp;" "&amp;YEAR(Dates[[#This Row],[Date]])</f>
        <v>Q1 2026</v>
      </c>
      <c r="K25" s="199">
        <f>EOMONTH(Dates[[#This Row],[Quarter Start]],-3)</f>
        <v>46053</v>
      </c>
      <c r="L25" s="199">
        <f>EOMONTH(Dates[[#This Row],[Prior Quarter Start]],2)</f>
        <v>46112</v>
      </c>
      <c r="M25" s="199">
        <f>DATE(YEAR(Dates[[#This Row],[Date]]), 1, 31)</f>
        <v>46053</v>
      </c>
      <c r="N25" s="199">
        <f>DATE(YEAR(Dates[[#This Row],[Date]]), 12, 31)</f>
        <v>46387</v>
      </c>
      <c r="O25" s="199">
        <f>EOMONTH(Dates[[#This Row],[Year Start]],-12)</f>
        <v>45688</v>
      </c>
      <c r="P25" s="199">
        <f>EOMONTH(Dates[[#This Row],[Year End]],-12)</f>
        <v>46022</v>
      </c>
    </row>
    <row r="26" spans="2:20" ht="13.2" x14ac:dyDescent="0.25">
      <c r="B26" s="177">
        <v>45838</v>
      </c>
      <c r="C26" s="198" t="str">
        <f t="shared" si="0"/>
        <v>2025 Q2</v>
      </c>
      <c r="E26" s="199">
        <f t="shared" si="1"/>
        <v>46203</v>
      </c>
      <c r="F26" s="190" t="str">
        <f>"Q"&amp;ROUNDUP(MONTH(Dates[[#This Row],[Date]])/3,0)&amp;" "&amp;YEAR(Dates[[#This Row],[Date]])</f>
        <v>Q2 2026</v>
      </c>
      <c r="G26" s="190">
        <f>YEAR(Dates[[#This Row],[Date]])</f>
        <v>2026</v>
      </c>
      <c r="H26" s="199">
        <v>46142</v>
      </c>
      <c r="I26" s="199">
        <f>EOMONTH(Dates[[#This Row],[Quarter Start]],2)</f>
        <v>46203</v>
      </c>
      <c r="J26" s="190" t="str">
        <f>"Q"&amp;ROUNDUP(MONTH(EOMONTH(Dates[[#This Row],[Date]],-3))/3,0)&amp;" "&amp;YEAR(Dates[[#This Row],[Date]])</f>
        <v>Q1 2026</v>
      </c>
      <c r="K26" s="199">
        <f>EOMONTH(Dates[[#This Row],[Quarter Start]],-3)</f>
        <v>46053</v>
      </c>
      <c r="L26" s="199">
        <f>EOMONTH(Dates[[#This Row],[Prior Quarter Start]],2)</f>
        <v>46112</v>
      </c>
      <c r="M26" s="199">
        <f>DATE(YEAR(Dates[[#This Row],[Date]]), 1, 31)</f>
        <v>46053</v>
      </c>
      <c r="N26" s="199">
        <f>DATE(YEAR(Dates[[#This Row],[Date]]), 12, 31)</f>
        <v>46387</v>
      </c>
      <c r="O26" s="199">
        <f>EOMONTH(Dates[[#This Row],[Year Start]],-12)</f>
        <v>45688</v>
      </c>
      <c r="P26" s="199">
        <f>EOMONTH(Dates[[#This Row],[Year End]],-12)</f>
        <v>46022</v>
      </c>
    </row>
    <row r="27" spans="2:20" ht="13.2" x14ac:dyDescent="0.25">
      <c r="B27" s="177">
        <v>45869</v>
      </c>
      <c r="C27" s="198" t="str">
        <f t="shared" si="0"/>
        <v>2025 Q3</v>
      </c>
      <c r="E27" s="199">
        <f t="shared" si="1"/>
        <v>46234</v>
      </c>
      <c r="F27" s="190" t="str">
        <f>"Q"&amp;ROUNDUP(MONTH(Dates[[#This Row],[Date]])/3,0)&amp;" "&amp;YEAR(Dates[[#This Row],[Date]])</f>
        <v>Q3 2026</v>
      </c>
      <c r="G27" s="190">
        <f>YEAR(Dates[[#This Row],[Date]])</f>
        <v>2026</v>
      </c>
      <c r="H27" s="199">
        <v>46234</v>
      </c>
      <c r="I27" s="199">
        <f>EOMONTH(Dates[[#This Row],[Quarter Start]],2)</f>
        <v>46295</v>
      </c>
      <c r="J27" s="190" t="str">
        <f>"Q"&amp;ROUNDUP(MONTH(EOMONTH(Dates[[#This Row],[Date]],-3))/3,0)&amp;" "&amp;YEAR(Dates[[#This Row],[Date]])</f>
        <v>Q2 2026</v>
      </c>
      <c r="K27" s="199">
        <f>EOMONTH(Dates[[#This Row],[Quarter Start]],-3)</f>
        <v>46142</v>
      </c>
      <c r="L27" s="199">
        <f>EOMONTH(Dates[[#This Row],[Prior Quarter Start]],2)</f>
        <v>46203</v>
      </c>
      <c r="M27" s="199">
        <f>DATE(YEAR(Dates[[#This Row],[Date]]), 1, 31)</f>
        <v>46053</v>
      </c>
      <c r="N27" s="199">
        <f>DATE(YEAR(Dates[[#This Row],[Date]]), 12, 31)</f>
        <v>46387</v>
      </c>
      <c r="O27" s="199">
        <f>EOMONTH(Dates[[#This Row],[Year Start]],-12)</f>
        <v>45688</v>
      </c>
      <c r="P27" s="199">
        <f>EOMONTH(Dates[[#This Row],[Year End]],-12)</f>
        <v>46022</v>
      </c>
    </row>
    <row r="28" spans="2:20" ht="12" customHeight="1" x14ac:dyDescent="0.25">
      <c r="B28" s="177">
        <v>45900</v>
      </c>
      <c r="C28" s="198" t="str">
        <f t="shared" si="0"/>
        <v>2025 Q3</v>
      </c>
      <c r="E28" s="199">
        <f t="shared" si="1"/>
        <v>46265</v>
      </c>
      <c r="F28" s="190" t="str">
        <f>"Q"&amp;ROUNDUP(MONTH(Dates[[#This Row],[Date]])/3,0)&amp;" "&amp;YEAR(Dates[[#This Row],[Date]])</f>
        <v>Q3 2026</v>
      </c>
      <c r="G28" s="190">
        <f>YEAR(Dates[[#This Row],[Date]])</f>
        <v>2026</v>
      </c>
      <c r="H28" s="199">
        <v>46234</v>
      </c>
      <c r="I28" s="199">
        <f>EOMONTH(Dates[[#This Row],[Quarter Start]],2)</f>
        <v>46295</v>
      </c>
      <c r="J28" s="190" t="str">
        <f>"Q"&amp;ROUNDUP(MONTH(EOMONTH(Dates[[#This Row],[Date]],-3))/3,0)&amp;" "&amp;YEAR(Dates[[#This Row],[Date]])</f>
        <v>Q2 2026</v>
      </c>
      <c r="K28" s="199">
        <f>EOMONTH(Dates[[#This Row],[Quarter Start]],-3)</f>
        <v>46142</v>
      </c>
      <c r="L28" s="199">
        <f>EOMONTH(Dates[[#This Row],[Prior Quarter Start]],2)</f>
        <v>46203</v>
      </c>
      <c r="M28" s="199">
        <f>DATE(YEAR(Dates[[#This Row],[Date]]), 1, 31)</f>
        <v>46053</v>
      </c>
      <c r="N28" s="199">
        <f>DATE(YEAR(Dates[[#This Row],[Date]]), 12, 31)</f>
        <v>46387</v>
      </c>
      <c r="O28" s="199">
        <f>EOMONTH(Dates[[#This Row],[Year Start]],-12)</f>
        <v>45688</v>
      </c>
      <c r="P28" s="199">
        <f>EOMONTH(Dates[[#This Row],[Year End]],-12)</f>
        <v>46022</v>
      </c>
    </row>
    <row r="29" spans="2:20" ht="12" customHeight="1" x14ac:dyDescent="0.25">
      <c r="B29" s="177">
        <v>45930</v>
      </c>
      <c r="C29" s="198" t="str">
        <f t="shared" si="0"/>
        <v>2025 Q3</v>
      </c>
      <c r="E29" s="199">
        <f t="shared" si="1"/>
        <v>46295</v>
      </c>
      <c r="F29" s="190" t="str">
        <f>"Q"&amp;ROUNDUP(MONTH(Dates[[#This Row],[Date]])/3,0)&amp;" "&amp;YEAR(Dates[[#This Row],[Date]])</f>
        <v>Q3 2026</v>
      </c>
      <c r="G29" s="190">
        <f>YEAR(Dates[[#This Row],[Date]])</f>
        <v>2026</v>
      </c>
      <c r="H29" s="199">
        <v>46234</v>
      </c>
      <c r="I29" s="199">
        <f>EOMONTH(Dates[[#This Row],[Quarter Start]],2)</f>
        <v>46295</v>
      </c>
      <c r="J29" s="190" t="str">
        <f>"Q"&amp;ROUNDUP(MONTH(EOMONTH(Dates[[#This Row],[Date]],-3))/3,0)&amp;" "&amp;YEAR(Dates[[#This Row],[Date]])</f>
        <v>Q2 2026</v>
      </c>
      <c r="K29" s="199">
        <f>EOMONTH(Dates[[#This Row],[Quarter Start]],-3)</f>
        <v>46142</v>
      </c>
      <c r="L29" s="199">
        <f>EOMONTH(Dates[[#This Row],[Prior Quarter Start]],2)</f>
        <v>46203</v>
      </c>
      <c r="M29" s="199">
        <f>DATE(YEAR(Dates[[#This Row],[Date]]), 1, 31)</f>
        <v>46053</v>
      </c>
      <c r="N29" s="199">
        <f>DATE(YEAR(Dates[[#This Row],[Date]]), 12, 31)</f>
        <v>46387</v>
      </c>
      <c r="O29" s="199">
        <f>EOMONTH(Dates[[#This Row],[Year Start]],-12)</f>
        <v>45688</v>
      </c>
      <c r="P29" s="199">
        <f>EOMONTH(Dates[[#This Row],[Year End]],-12)</f>
        <v>46022</v>
      </c>
    </row>
    <row r="30" spans="2:20" ht="12" customHeight="1" x14ac:dyDescent="0.25">
      <c r="B30" s="177">
        <v>45961</v>
      </c>
      <c r="C30" s="198" t="str">
        <f t="shared" si="0"/>
        <v>2025 Q4</v>
      </c>
      <c r="E30" s="199">
        <f t="shared" si="1"/>
        <v>46326</v>
      </c>
      <c r="F30" s="190" t="str">
        <f>"Q"&amp;ROUNDUP(MONTH(Dates[[#This Row],[Date]])/3,0)&amp;" "&amp;YEAR(Dates[[#This Row],[Date]])</f>
        <v>Q4 2026</v>
      </c>
      <c r="G30" s="190">
        <f>YEAR(Dates[[#This Row],[Date]])</f>
        <v>2026</v>
      </c>
      <c r="H30" s="199">
        <v>46326</v>
      </c>
      <c r="I30" s="199">
        <f>EOMONTH(Dates[[#This Row],[Quarter Start]],2)</f>
        <v>46387</v>
      </c>
      <c r="J30" s="190" t="str">
        <f>"Q"&amp;ROUNDUP(MONTH(EOMONTH(Dates[[#This Row],[Date]],-3))/3,0)&amp;" "&amp;YEAR(Dates[[#This Row],[Date]])</f>
        <v>Q3 2026</v>
      </c>
      <c r="K30" s="199">
        <f>EOMONTH(Dates[[#This Row],[Quarter Start]],-3)</f>
        <v>46234</v>
      </c>
      <c r="L30" s="199">
        <f>EOMONTH(Dates[[#This Row],[Prior Quarter Start]],2)</f>
        <v>46295</v>
      </c>
      <c r="M30" s="199">
        <f>DATE(YEAR(Dates[[#This Row],[Date]]), 1, 31)</f>
        <v>46053</v>
      </c>
      <c r="N30" s="199">
        <f>DATE(YEAR(Dates[[#This Row],[Date]]), 12, 31)</f>
        <v>46387</v>
      </c>
      <c r="O30" s="199">
        <f>EOMONTH(Dates[[#This Row],[Year Start]],-12)</f>
        <v>45688</v>
      </c>
      <c r="P30" s="199">
        <f>EOMONTH(Dates[[#This Row],[Year End]],-12)</f>
        <v>46022</v>
      </c>
    </row>
    <row r="31" spans="2:20" ht="12" customHeight="1" x14ac:dyDescent="0.25">
      <c r="B31" s="177">
        <v>45991</v>
      </c>
      <c r="C31" s="198" t="str">
        <f t="shared" si="0"/>
        <v>2025 Q4</v>
      </c>
      <c r="E31" s="199">
        <f t="shared" si="1"/>
        <v>46356</v>
      </c>
      <c r="F31" s="190" t="str">
        <f>"Q"&amp;ROUNDUP(MONTH(Dates[[#This Row],[Date]])/3,0)&amp;" "&amp;YEAR(Dates[[#This Row],[Date]])</f>
        <v>Q4 2026</v>
      </c>
      <c r="G31" s="190">
        <f>YEAR(Dates[[#This Row],[Date]])</f>
        <v>2026</v>
      </c>
      <c r="H31" s="199">
        <v>46326</v>
      </c>
      <c r="I31" s="199">
        <f>EOMONTH(Dates[[#This Row],[Quarter Start]],2)</f>
        <v>46387</v>
      </c>
      <c r="J31" s="190" t="str">
        <f>"Q"&amp;ROUNDUP(MONTH(EOMONTH(Dates[[#This Row],[Date]],-3))/3,0)&amp;" "&amp;YEAR(Dates[[#This Row],[Date]])</f>
        <v>Q3 2026</v>
      </c>
      <c r="K31" s="199">
        <f>EOMONTH(Dates[[#This Row],[Quarter Start]],-3)</f>
        <v>46234</v>
      </c>
      <c r="L31" s="199">
        <f>EOMONTH(Dates[[#This Row],[Prior Quarter Start]],2)</f>
        <v>46295</v>
      </c>
      <c r="M31" s="199">
        <f>DATE(YEAR(Dates[[#This Row],[Date]]), 1, 31)</f>
        <v>46053</v>
      </c>
      <c r="N31" s="199">
        <f>DATE(YEAR(Dates[[#This Row],[Date]]), 12, 31)</f>
        <v>46387</v>
      </c>
      <c r="O31" s="199">
        <f>EOMONTH(Dates[[#This Row],[Year Start]],-12)</f>
        <v>45688</v>
      </c>
      <c r="P31" s="199">
        <f>EOMONTH(Dates[[#This Row],[Year End]],-12)</f>
        <v>46022</v>
      </c>
    </row>
    <row r="32" spans="2:20" ht="12" customHeight="1" x14ac:dyDescent="0.25">
      <c r="B32" s="177">
        <v>46022</v>
      </c>
      <c r="C32" s="198" t="str">
        <f t="shared" si="0"/>
        <v>2025 Q4</v>
      </c>
      <c r="E32" s="199">
        <f t="shared" si="1"/>
        <v>46387</v>
      </c>
      <c r="F32" s="190" t="str">
        <f>"Q"&amp;ROUNDUP(MONTH(Dates[[#This Row],[Date]])/3,0)&amp;" "&amp;YEAR(Dates[[#This Row],[Date]])</f>
        <v>Q4 2026</v>
      </c>
      <c r="G32" s="190">
        <f>YEAR(Dates[[#This Row],[Date]])</f>
        <v>2026</v>
      </c>
      <c r="H32" s="199">
        <v>46326</v>
      </c>
      <c r="I32" s="199">
        <f>EOMONTH(Dates[[#This Row],[Quarter Start]],2)</f>
        <v>46387</v>
      </c>
      <c r="J32" s="190" t="str">
        <f>"Q"&amp;ROUNDUP(MONTH(EOMONTH(Dates[[#This Row],[Date]],-3))/3,0)&amp;" "&amp;YEAR(Dates[[#This Row],[Date]])</f>
        <v>Q3 2026</v>
      </c>
      <c r="K32" s="199">
        <f>EOMONTH(Dates[[#This Row],[Quarter Start]],-3)</f>
        <v>46234</v>
      </c>
      <c r="L32" s="199">
        <f>EOMONTH(Dates[[#This Row],[Prior Quarter Start]],2)</f>
        <v>46295</v>
      </c>
      <c r="M32" s="199">
        <f>DATE(YEAR(Dates[[#This Row],[Date]]), 1, 31)</f>
        <v>46053</v>
      </c>
      <c r="N32" s="199">
        <f>DATE(YEAR(Dates[[#This Row],[Date]]), 12, 31)</f>
        <v>46387</v>
      </c>
      <c r="O32" s="199">
        <f>EOMONTH(Dates[[#This Row],[Year Start]],-12)</f>
        <v>45688</v>
      </c>
      <c r="P32" s="199">
        <f>EOMONTH(Dates[[#This Row],[Year End]],-12)</f>
        <v>46022</v>
      </c>
    </row>
    <row r="33" spans="2:5" ht="12" customHeight="1" x14ac:dyDescent="0.25">
      <c r="B33" s="177">
        <v>46053</v>
      </c>
      <c r="C33" s="198" t="str">
        <f t="shared" si="0"/>
        <v>2026 Q1</v>
      </c>
      <c r="E33" s="199"/>
    </row>
    <row r="34" spans="2:5" ht="13.2" x14ac:dyDescent="0.25">
      <c r="B34" s="177">
        <v>46081</v>
      </c>
      <c r="C34" s="198" t="str">
        <f t="shared" si="0"/>
        <v>2026 Q1</v>
      </c>
      <c r="E34" s="199"/>
    </row>
    <row r="35" spans="2:5" ht="13.2" x14ac:dyDescent="0.25">
      <c r="B35" s="177">
        <v>46112</v>
      </c>
      <c r="C35" s="198" t="str">
        <f t="shared" si="0"/>
        <v>2026 Q1</v>
      </c>
      <c r="E35" s="199"/>
    </row>
    <row r="36" spans="2:5" ht="13.2" x14ac:dyDescent="0.25">
      <c r="B36" s="177">
        <v>46142</v>
      </c>
      <c r="C36" s="198" t="str">
        <f t="shared" si="0"/>
        <v>2026 Q2</v>
      </c>
      <c r="E36" s="199"/>
    </row>
    <row r="37" spans="2:5" ht="13.2" x14ac:dyDescent="0.25">
      <c r="B37" s="177">
        <v>46173</v>
      </c>
      <c r="C37" s="198" t="str">
        <f t="shared" si="0"/>
        <v>2026 Q2</v>
      </c>
      <c r="E37" s="199"/>
    </row>
    <row r="38" spans="2:5" ht="13.2" x14ac:dyDescent="0.25">
      <c r="B38" s="177">
        <v>46203</v>
      </c>
      <c r="C38" s="198" t="str">
        <f t="shared" si="0"/>
        <v>2026 Q2</v>
      </c>
      <c r="E38" s="199"/>
    </row>
    <row r="39" spans="2:5" ht="13.2" x14ac:dyDescent="0.25">
      <c r="B39" s="177">
        <v>46234</v>
      </c>
      <c r="C39" s="198" t="str">
        <f t="shared" si="0"/>
        <v>2026 Q3</v>
      </c>
      <c r="E39" s="199"/>
    </row>
    <row r="40" spans="2:5" ht="13.2" x14ac:dyDescent="0.25">
      <c r="B40" s="177">
        <v>46265</v>
      </c>
      <c r="C40" s="198" t="str">
        <f t="shared" si="0"/>
        <v>2026 Q3</v>
      </c>
      <c r="E40" s="199"/>
    </row>
    <row r="41" spans="2:5" ht="13.2" x14ac:dyDescent="0.25">
      <c r="B41" s="177">
        <v>46295</v>
      </c>
      <c r="C41" s="198" t="str">
        <f t="shared" si="0"/>
        <v>2026 Q3</v>
      </c>
      <c r="E41" s="199"/>
    </row>
    <row r="42" spans="2:5" ht="13.2" x14ac:dyDescent="0.25">
      <c r="B42" s="177">
        <v>46326</v>
      </c>
      <c r="C42" s="198" t="str">
        <f t="shared" si="0"/>
        <v>2026 Q4</v>
      </c>
      <c r="E42" s="199"/>
    </row>
    <row r="43" spans="2:5" ht="13.2" x14ac:dyDescent="0.25">
      <c r="B43" s="177">
        <v>46356</v>
      </c>
      <c r="C43" s="198" t="str">
        <f t="shared" si="0"/>
        <v>2026 Q4</v>
      </c>
      <c r="E43" s="199"/>
    </row>
    <row r="44" spans="2:5" ht="13.2" x14ac:dyDescent="0.25">
      <c r="B44" s="177">
        <v>46387</v>
      </c>
      <c r="C44" s="198" t="str">
        <f t="shared" si="0"/>
        <v>2026 Q4</v>
      </c>
      <c r="E44" s="199"/>
    </row>
    <row r="45" spans="2:5" ht="13.2" x14ac:dyDescent="0.25">
      <c r="B45" s="177">
        <v>46418</v>
      </c>
      <c r="C45" s="198" t="str">
        <f t="shared" si="0"/>
        <v>2027 Q1</v>
      </c>
      <c r="E45" s="199"/>
    </row>
    <row r="46" spans="2:5" ht="13.2" x14ac:dyDescent="0.25">
      <c r="B46" s="177">
        <v>46446</v>
      </c>
      <c r="C46" s="198" t="str">
        <f t="shared" si="0"/>
        <v>2027 Q1</v>
      </c>
      <c r="E46" s="199"/>
    </row>
    <row r="47" spans="2:5" ht="13.2" x14ac:dyDescent="0.25">
      <c r="B47" s="177">
        <v>46477</v>
      </c>
      <c r="C47" s="198" t="str">
        <f t="shared" si="0"/>
        <v>2027 Q1</v>
      </c>
      <c r="E47" s="199"/>
    </row>
    <row r="48" spans="2:5" ht="13.2" x14ac:dyDescent="0.25">
      <c r="B48" s="177">
        <v>46507</v>
      </c>
      <c r="C48" s="198" t="str">
        <f t="shared" si="0"/>
        <v>2027 Q2</v>
      </c>
      <c r="E48" s="199"/>
    </row>
    <row r="49" spans="2:5" ht="13.2" x14ac:dyDescent="0.25">
      <c r="B49" s="177">
        <v>46538</v>
      </c>
      <c r="C49" s="198" t="str">
        <f t="shared" si="0"/>
        <v>2027 Q2</v>
      </c>
      <c r="E49" s="199"/>
    </row>
    <row r="50" spans="2:5" ht="13.2" x14ac:dyDescent="0.25">
      <c r="B50" s="177">
        <v>46568</v>
      </c>
      <c r="C50" s="198" t="str">
        <f t="shared" si="0"/>
        <v>2027 Q2</v>
      </c>
      <c r="E50" s="199"/>
    </row>
    <row r="51" spans="2:5" ht="13.2" x14ac:dyDescent="0.25">
      <c r="B51" s="177">
        <v>46599</v>
      </c>
      <c r="C51" s="198" t="str">
        <f t="shared" si="0"/>
        <v>2027 Q3</v>
      </c>
      <c r="E51" s="199"/>
    </row>
    <row r="52" spans="2:5" ht="13.2" x14ac:dyDescent="0.25">
      <c r="B52" s="177">
        <v>46630</v>
      </c>
      <c r="C52" s="198" t="str">
        <f t="shared" si="0"/>
        <v>2027 Q3</v>
      </c>
      <c r="E52" s="199"/>
    </row>
    <row r="53" spans="2:5" ht="13.2" x14ac:dyDescent="0.25">
      <c r="B53" s="177">
        <v>46660</v>
      </c>
      <c r="C53" s="198" t="str">
        <f t="shared" si="0"/>
        <v>2027 Q3</v>
      </c>
      <c r="E53" s="199"/>
    </row>
    <row r="54" spans="2:5" ht="13.2" x14ac:dyDescent="0.25">
      <c r="B54" s="177">
        <v>46691</v>
      </c>
      <c r="C54" s="198" t="str">
        <f t="shared" si="0"/>
        <v>2027 Q4</v>
      </c>
      <c r="E54" s="199"/>
    </row>
    <row r="55" spans="2:5" ht="13.2" x14ac:dyDescent="0.25">
      <c r="B55" s="177">
        <v>46721</v>
      </c>
      <c r="C55" s="198" t="str">
        <f t="shared" si="0"/>
        <v>2027 Q4</v>
      </c>
      <c r="E55" s="199"/>
    </row>
    <row r="56" spans="2:5" ht="13.2" x14ac:dyDescent="0.25">
      <c r="B56" s="177">
        <v>46752</v>
      </c>
      <c r="C56" s="198" t="str">
        <f t="shared" si="0"/>
        <v>2027 Q4</v>
      </c>
      <c r="E56" s="199"/>
    </row>
    <row r="57" spans="2:5" ht="13.2" x14ac:dyDescent="0.25">
      <c r="B57" s="177">
        <v>46783</v>
      </c>
      <c r="C57" s="198" t="str">
        <f t="shared" si="0"/>
        <v>2028 Q1</v>
      </c>
      <c r="E57" s="199"/>
    </row>
    <row r="58" spans="2:5" ht="13.2" x14ac:dyDescent="0.25">
      <c r="B58" s="177">
        <v>46812</v>
      </c>
      <c r="C58" s="198" t="str">
        <f t="shared" si="0"/>
        <v>2028 Q1</v>
      </c>
      <c r="E58" s="199"/>
    </row>
    <row r="59" spans="2:5" ht="13.2" x14ac:dyDescent="0.25">
      <c r="B59" s="177">
        <v>46843</v>
      </c>
      <c r="C59" s="198" t="str">
        <f t="shared" si="0"/>
        <v>2028 Q1</v>
      </c>
      <c r="E59" s="199"/>
    </row>
    <row r="60" spans="2:5" ht="13.2" x14ac:dyDescent="0.25">
      <c r="B60" s="177">
        <v>46873</v>
      </c>
      <c r="C60" s="198" t="str">
        <f t="shared" si="0"/>
        <v>2028 Q2</v>
      </c>
      <c r="E60" s="199"/>
    </row>
    <row r="61" spans="2:5" ht="13.2" x14ac:dyDescent="0.25">
      <c r="B61" s="177">
        <v>46904</v>
      </c>
      <c r="C61" s="198" t="str">
        <f t="shared" si="0"/>
        <v>2028 Q2</v>
      </c>
      <c r="E61" s="199"/>
    </row>
    <row r="62" spans="2:5" ht="13.2" x14ac:dyDescent="0.25">
      <c r="B62" s="177">
        <v>46934</v>
      </c>
      <c r="C62" s="198" t="str">
        <f t="shared" si="0"/>
        <v>2028 Q2</v>
      </c>
      <c r="E62" s="199"/>
    </row>
    <row r="63" spans="2:5" ht="13.2" x14ac:dyDescent="0.25">
      <c r="B63" s="177">
        <v>46965</v>
      </c>
      <c r="C63" s="198" t="str">
        <f t="shared" si="0"/>
        <v>2028 Q3</v>
      </c>
      <c r="E63" s="199"/>
    </row>
    <row r="64" spans="2:5" ht="13.2" x14ac:dyDescent="0.25">
      <c r="B64" s="177">
        <v>46996</v>
      </c>
      <c r="C64" s="198" t="str">
        <f t="shared" si="0"/>
        <v>2028 Q3</v>
      </c>
      <c r="E64" s="199"/>
    </row>
    <row r="65" spans="2:5" ht="13.2" x14ac:dyDescent="0.25">
      <c r="B65" s="177">
        <v>47026</v>
      </c>
      <c r="C65" s="198" t="str">
        <f t="shared" si="0"/>
        <v>2028 Q3</v>
      </c>
      <c r="E65" s="199"/>
    </row>
    <row r="66" spans="2:5" ht="13.2" x14ac:dyDescent="0.25">
      <c r="B66" s="177">
        <v>47057</v>
      </c>
      <c r="C66" s="198" t="str">
        <f t="shared" si="0"/>
        <v>2028 Q4</v>
      </c>
      <c r="E66" s="199"/>
    </row>
    <row r="67" spans="2:5" ht="13.2" x14ac:dyDescent="0.25">
      <c r="B67" s="177">
        <v>47087</v>
      </c>
      <c r="C67" s="198" t="str">
        <f t="shared" si="0"/>
        <v>2028 Q4</v>
      </c>
      <c r="E67" s="199"/>
    </row>
    <row r="68" spans="2:5" ht="13.2" x14ac:dyDescent="0.25">
      <c r="B68" s="177">
        <v>47118</v>
      </c>
      <c r="C68" s="198" t="str">
        <f t="shared" si="0"/>
        <v>2028 Q4</v>
      </c>
      <c r="E68" s="199"/>
    </row>
    <row r="69" spans="2:5" ht="13.2" x14ac:dyDescent="0.25">
      <c r="B69" s="177">
        <v>47149</v>
      </c>
      <c r="C69" s="198" t="str">
        <f t="shared" si="0"/>
        <v>2029 Q1</v>
      </c>
    </row>
    <row r="70" spans="2:5" ht="13.2" x14ac:dyDescent="0.25">
      <c r="B70" s="177">
        <v>47177</v>
      </c>
      <c r="C70" s="198" t="str">
        <f t="shared" si="0"/>
        <v>2029 Q1</v>
      </c>
    </row>
    <row r="71" spans="2:5" ht="13.2" x14ac:dyDescent="0.25">
      <c r="B71" s="177">
        <v>47208</v>
      </c>
      <c r="C71" s="198" t="str">
        <f t="shared" si="0"/>
        <v>2029 Q1</v>
      </c>
    </row>
    <row r="72" spans="2:5" ht="13.2" x14ac:dyDescent="0.25">
      <c r="B72" s="177">
        <v>47238</v>
      </c>
      <c r="C72" s="198" t="str">
        <f t="shared" si="0"/>
        <v>2029 Q2</v>
      </c>
    </row>
    <row r="73" spans="2:5" ht="13.2" x14ac:dyDescent="0.25">
      <c r="B73" s="177">
        <v>47269</v>
      </c>
      <c r="C73" s="198" t="str">
        <f t="shared" si="0"/>
        <v>2029 Q2</v>
      </c>
    </row>
    <row r="74" spans="2:5" ht="13.2" x14ac:dyDescent="0.25">
      <c r="B74" s="177">
        <v>47299</v>
      </c>
      <c r="C74" s="198" t="str">
        <f t="shared" ref="C74:C92" si="2">IFERROR(TEXT(B74,"yyyy") &amp; " Q" &amp; ROUNDUP(MONTH(B74)/3,0),"")</f>
        <v>2029 Q2</v>
      </c>
    </row>
    <row r="75" spans="2:5" ht="13.2" x14ac:dyDescent="0.25">
      <c r="B75" s="177">
        <v>47330</v>
      </c>
      <c r="C75" s="198" t="str">
        <f t="shared" si="2"/>
        <v>2029 Q3</v>
      </c>
    </row>
    <row r="76" spans="2:5" ht="13.2" x14ac:dyDescent="0.25">
      <c r="B76" s="177">
        <v>47361</v>
      </c>
      <c r="C76" s="198" t="str">
        <f t="shared" si="2"/>
        <v>2029 Q3</v>
      </c>
    </row>
    <row r="77" spans="2:5" ht="13.2" x14ac:dyDescent="0.25">
      <c r="B77" s="177">
        <v>47391</v>
      </c>
      <c r="C77" s="198" t="str">
        <f t="shared" si="2"/>
        <v>2029 Q3</v>
      </c>
    </row>
    <row r="78" spans="2:5" ht="13.2" x14ac:dyDescent="0.25">
      <c r="B78" s="177">
        <v>47422</v>
      </c>
      <c r="C78" s="198" t="str">
        <f t="shared" si="2"/>
        <v>2029 Q4</v>
      </c>
    </row>
    <row r="79" spans="2:5" ht="13.2" x14ac:dyDescent="0.25">
      <c r="B79" s="177">
        <v>47452</v>
      </c>
      <c r="C79" s="198" t="str">
        <f t="shared" si="2"/>
        <v>2029 Q4</v>
      </c>
    </row>
    <row r="80" spans="2:5" ht="13.2" x14ac:dyDescent="0.25">
      <c r="B80" s="177">
        <v>47483</v>
      </c>
      <c r="C80" s="198" t="str">
        <f t="shared" si="2"/>
        <v>2029 Q4</v>
      </c>
    </row>
    <row r="81" spans="2:3" ht="13.2" x14ac:dyDescent="0.25">
      <c r="B81" s="177">
        <v>47514</v>
      </c>
      <c r="C81" s="198" t="str">
        <f t="shared" si="2"/>
        <v>2030 Q1</v>
      </c>
    </row>
    <row r="82" spans="2:3" ht="13.2" x14ac:dyDescent="0.25">
      <c r="B82" s="177">
        <v>47542</v>
      </c>
      <c r="C82" s="198" t="str">
        <f t="shared" si="2"/>
        <v>2030 Q1</v>
      </c>
    </row>
    <row r="83" spans="2:3" ht="13.2" x14ac:dyDescent="0.25">
      <c r="B83" s="177">
        <v>47573</v>
      </c>
      <c r="C83" s="198" t="str">
        <f t="shared" si="2"/>
        <v>2030 Q1</v>
      </c>
    </row>
    <row r="84" spans="2:3" ht="13.2" x14ac:dyDescent="0.25">
      <c r="B84" s="177">
        <v>47603</v>
      </c>
      <c r="C84" s="198" t="str">
        <f t="shared" si="2"/>
        <v>2030 Q2</v>
      </c>
    </row>
    <row r="85" spans="2:3" ht="13.2" x14ac:dyDescent="0.25">
      <c r="B85" s="177">
        <v>47634</v>
      </c>
      <c r="C85" s="198" t="str">
        <f t="shared" si="2"/>
        <v>2030 Q2</v>
      </c>
    </row>
    <row r="86" spans="2:3" ht="13.2" x14ac:dyDescent="0.25">
      <c r="B86" s="177">
        <v>47664</v>
      </c>
      <c r="C86" s="198" t="str">
        <f t="shared" si="2"/>
        <v>2030 Q2</v>
      </c>
    </row>
    <row r="87" spans="2:3" ht="13.2" x14ac:dyDescent="0.25">
      <c r="B87" s="177">
        <v>47695</v>
      </c>
      <c r="C87" s="198" t="str">
        <f t="shared" si="2"/>
        <v>2030 Q3</v>
      </c>
    </row>
    <row r="88" spans="2:3" ht="13.2" x14ac:dyDescent="0.25">
      <c r="B88" s="177">
        <v>47726</v>
      </c>
      <c r="C88" s="198" t="str">
        <f t="shared" si="2"/>
        <v>2030 Q3</v>
      </c>
    </row>
    <row r="89" spans="2:3" ht="13.2" x14ac:dyDescent="0.25">
      <c r="B89" s="177">
        <v>47756</v>
      </c>
      <c r="C89" s="198" t="str">
        <f t="shared" si="2"/>
        <v>2030 Q3</v>
      </c>
    </row>
    <row r="90" spans="2:3" ht="13.2" x14ac:dyDescent="0.25">
      <c r="B90" s="177">
        <v>47787</v>
      </c>
      <c r="C90" s="198" t="str">
        <f t="shared" si="2"/>
        <v>2030 Q4</v>
      </c>
    </row>
    <row r="91" spans="2:3" ht="13.2" x14ac:dyDescent="0.25">
      <c r="B91" s="177">
        <v>47817</v>
      </c>
      <c r="C91" s="198" t="str">
        <f t="shared" si="2"/>
        <v>2030 Q4</v>
      </c>
    </row>
    <row r="92" spans="2:3" ht="13.2" x14ac:dyDescent="0.25">
      <c r="B92" s="177">
        <v>47848</v>
      </c>
      <c r="C92" s="198" t="str">
        <f t="shared" si="2"/>
        <v>2030 Q4</v>
      </c>
    </row>
  </sheetData>
  <pageMargins left="0.7" right="0.7" top="0.75" bottom="0.75" header="0.3" footer="0.3"/>
  <tableParts count="3">
    <tablePart r:id="rId1"/>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E0311-03D6-412C-9C77-2D9AA97DD42C}">
  <dimension ref="A1:BA114"/>
  <sheetViews>
    <sheetView showGridLines="0" zoomScale="85" zoomScaleNormal="85" workbookViewId="0">
      <pane ySplit="3" topLeftCell="A4" activePane="bottomLeft" state="frozen"/>
      <selection activeCell="M106" sqref="M106"/>
      <selection pane="bottomLeft" activeCell="G46" sqref="G46"/>
    </sheetView>
  </sheetViews>
  <sheetFormatPr defaultRowHeight="13.2" x14ac:dyDescent="0.25"/>
  <cols>
    <col min="1" max="1" width="1.77734375" style="2" customWidth="1"/>
    <col min="2" max="2" width="2.21875" style="2" customWidth="1"/>
    <col min="3" max="3" width="24.21875" style="2" bestFit="1" customWidth="1"/>
    <col min="4" max="15" width="13.109375" style="2" customWidth="1"/>
    <col min="16" max="16" width="1.109375" style="2" customWidth="1"/>
    <col min="17" max="17" width="16.109375" style="2" customWidth="1"/>
    <col min="18" max="18" width="1.109375" style="2" customWidth="1"/>
    <col min="19" max="19" width="19.44140625" style="2" bestFit="1" customWidth="1"/>
    <col min="20" max="20" width="13.6640625" style="2" bestFit="1" customWidth="1"/>
    <col min="21" max="24" width="16.109375" style="2" customWidth="1"/>
    <col min="25" max="25" width="19.44140625" style="2" bestFit="1" customWidth="1"/>
    <col min="26" max="26" width="10.44140625" style="2" bestFit="1" customWidth="1"/>
    <col min="27" max="27" width="1.109375" style="2" customWidth="1"/>
    <col min="28" max="16384" width="8.88671875" style="2"/>
  </cols>
  <sheetData>
    <row r="1" spans="1:53" x14ac:dyDescent="0.25">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row>
    <row r="2" spans="1:53" ht="20.100000000000001" customHeight="1" x14ac:dyDescent="0.25">
      <c r="A2" s="63"/>
      <c r="B2" s="144" t="s">
        <v>390</v>
      </c>
      <c r="C2" s="64"/>
      <c r="D2" s="64"/>
      <c r="E2" s="64"/>
      <c r="F2" s="64"/>
      <c r="G2" s="64"/>
      <c r="H2" s="64"/>
      <c r="I2" s="64"/>
      <c r="J2" s="64"/>
      <c r="K2" s="64"/>
      <c r="L2" s="64"/>
      <c r="M2" s="64"/>
      <c r="N2" s="64"/>
      <c r="O2" s="64"/>
      <c r="P2" s="65"/>
      <c r="Q2" s="63"/>
      <c r="R2" s="173" t="s">
        <v>489</v>
      </c>
      <c r="S2" s="174"/>
      <c r="T2" s="166"/>
      <c r="U2" s="166"/>
      <c r="V2" s="166"/>
      <c r="W2" s="166"/>
      <c r="X2" s="166"/>
      <c r="Y2" s="166"/>
      <c r="Z2" s="166"/>
      <c r="AA2" s="167"/>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row>
    <row r="3" spans="1:53" ht="16.2" customHeight="1" x14ac:dyDescent="0.25">
      <c r="A3" s="63"/>
      <c r="B3" s="145" t="str" cm="1">
        <f t="array" aca="1" ref="B3" ca="1">MID(CELL("filename",A1),FIND("]",CELL("filename",A1))+1,255)</f>
        <v>Month-end Dashboard</v>
      </c>
      <c r="C3" s="66"/>
      <c r="D3" s="200">
        <f>'Date Mapping'!S1</f>
        <v>46112</v>
      </c>
      <c r="E3" s="66"/>
      <c r="F3" s="66"/>
      <c r="G3" s="66"/>
      <c r="H3" s="66"/>
      <c r="I3" s="66"/>
      <c r="J3" s="66"/>
      <c r="K3" s="66"/>
      <c r="L3" s="66"/>
      <c r="M3" s="66"/>
      <c r="N3" s="66"/>
      <c r="O3" s="66"/>
      <c r="P3" s="67"/>
      <c r="Q3" s="63"/>
      <c r="R3" s="175" t="s">
        <v>490</v>
      </c>
      <c r="S3" s="171"/>
      <c r="T3" s="171"/>
      <c r="U3" s="171"/>
      <c r="V3" s="171"/>
      <c r="W3" s="171"/>
      <c r="X3" s="171"/>
      <c r="Y3" s="171"/>
      <c r="Z3" s="171"/>
      <c r="AA3" s="172"/>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row>
    <row r="4" spans="1:53" x14ac:dyDescent="0.25">
      <c r="A4" s="63"/>
      <c r="B4" s="68"/>
      <c r="C4" s="88"/>
      <c r="D4" s="151"/>
      <c r="E4" s="151"/>
      <c r="F4" s="151"/>
      <c r="G4" s="151"/>
      <c r="H4" s="151"/>
      <c r="I4" s="151"/>
      <c r="J4" s="151"/>
      <c r="K4" s="151"/>
      <c r="L4" s="151"/>
      <c r="M4" s="151"/>
      <c r="N4" s="151"/>
      <c r="O4" s="151"/>
      <c r="P4" s="74"/>
      <c r="Q4" s="63"/>
      <c r="R4" s="168"/>
      <c r="AA4" s="169"/>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row>
    <row r="5" spans="1:53" x14ac:dyDescent="0.25">
      <c r="A5" s="63"/>
      <c r="B5" s="68"/>
      <c r="C5" s="89"/>
      <c r="D5" s="150"/>
      <c r="E5" s="150"/>
      <c r="F5" s="150"/>
      <c r="G5" s="150"/>
      <c r="H5" s="150"/>
      <c r="I5" s="150"/>
      <c r="J5" s="150"/>
      <c r="K5" s="150"/>
      <c r="L5" s="150"/>
      <c r="M5" s="150"/>
      <c r="N5" s="150"/>
      <c r="O5" s="150"/>
      <c r="P5" s="74"/>
      <c r="Q5" s="63"/>
      <c r="R5" s="168"/>
      <c r="S5" s="179" t="s">
        <v>391</v>
      </c>
      <c r="T5" s="73"/>
      <c r="U5" s="73"/>
      <c r="V5" s="73"/>
      <c r="W5" s="73"/>
      <c r="X5" s="73"/>
      <c r="Y5" s="73"/>
      <c r="AA5" s="169"/>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row>
    <row r="6" spans="1:53" x14ac:dyDescent="0.25">
      <c r="A6" s="63"/>
      <c r="B6" s="68"/>
      <c r="C6" s="80"/>
      <c r="D6" s="147"/>
      <c r="E6" s="147"/>
      <c r="F6" s="147"/>
      <c r="G6" s="147"/>
      <c r="H6" s="147"/>
      <c r="I6" s="147"/>
      <c r="J6" s="147"/>
      <c r="K6" s="147"/>
      <c r="L6" s="147"/>
      <c r="M6" s="147"/>
      <c r="N6" s="147"/>
      <c r="O6" s="147"/>
      <c r="P6" s="74"/>
      <c r="Q6" s="63"/>
      <c r="R6" s="168"/>
      <c r="S6" s="2" t="s">
        <v>208</v>
      </c>
      <c r="T6" s="158">
        <f>SUMIFS('IS GL Summary'!$F:$F,'IS GL Summary'!$B:$B,D$3,'IS GL Summary'!$H:$H,'Month-end Dashboard'!$S6)</f>
        <v>131483.14000000001</v>
      </c>
      <c r="AA6" s="169"/>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row>
    <row r="7" spans="1:53" x14ac:dyDescent="0.25">
      <c r="A7" s="63"/>
      <c r="B7" s="68"/>
      <c r="C7" s="80"/>
      <c r="D7" s="147"/>
      <c r="E7" s="147"/>
      <c r="F7" s="147"/>
      <c r="G7" s="147"/>
      <c r="H7" s="147"/>
      <c r="I7" s="147"/>
      <c r="J7" s="147"/>
      <c r="K7" s="147"/>
      <c r="L7" s="147"/>
      <c r="M7" s="147"/>
      <c r="N7" s="147"/>
      <c r="O7" s="147"/>
      <c r="P7" s="74"/>
      <c r="Q7" s="63"/>
      <c r="R7" s="168"/>
      <c r="S7" s="2" t="s">
        <v>211</v>
      </c>
      <c r="T7" s="158">
        <f>SUMIFS('IS GL Summary'!$F:$F,'IS GL Summary'!$B:$B,D$3,'IS GL Summary'!$H:$H,'Month-end Dashboard'!$S7)</f>
        <v>56734.670000000006</v>
      </c>
      <c r="AA7" s="169"/>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row>
    <row r="8" spans="1:53" x14ac:dyDescent="0.25">
      <c r="A8" s="63"/>
      <c r="B8" s="68"/>
      <c r="C8" s="80"/>
      <c r="D8" s="147"/>
      <c r="E8" s="147"/>
      <c r="F8" s="147"/>
      <c r="G8" s="147"/>
      <c r="H8" s="147"/>
      <c r="I8" s="147"/>
      <c r="J8" s="147"/>
      <c r="K8" s="147"/>
      <c r="L8" s="147"/>
      <c r="M8" s="147"/>
      <c r="N8" s="147"/>
      <c r="O8" s="147"/>
      <c r="P8" s="74"/>
      <c r="Q8" s="63"/>
      <c r="R8" s="168"/>
      <c r="S8" s="2" t="s">
        <v>216</v>
      </c>
      <c r="T8" s="158">
        <f>SUMIFS('IS GL Summary'!$F:$F,'IS GL Summary'!$B:$B,D$3,'IS GL Summary'!$H:$H,'Month-end Dashboard'!$S8)</f>
        <v>79237.239999999991</v>
      </c>
      <c r="AA8" s="169"/>
      <c r="AB8" s="63"/>
      <c r="AC8" s="63"/>
      <c r="AD8" s="63"/>
      <c r="AE8" s="63"/>
      <c r="AF8" s="63"/>
      <c r="AG8" s="63"/>
      <c r="AH8" s="63"/>
      <c r="AI8" s="63"/>
      <c r="AJ8" s="63"/>
      <c r="AK8" s="63"/>
      <c r="AL8" s="63"/>
      <c r="AM8" s="63"/>
      <c r="AN8" s="63"/>
      <c r="AO8" s="63"/>
      <c r="AP8" s="63"/>
      <c r="AQ8" s="63"/>
      <c r="AR8" s="63"/>
      <c r="AS8" s="63"/>
      <c r="AT8" s="63"/>
      <c r="AU8" s="63"/>
      <c r="AV8" s="63"/>
      <c r="AW8" s="63"/>
      <c r="AX8" s="63"/>
      <c r="AY8" s="63"/>
      <c r="AZ8" s="63"/>
      <c r="BA8" s="63"/>
    </row>
    <row r="9" spans="1:53" x14ac:dyDescent="0.25">
      <c r="A9" s="63"/>
      <c r="B9" s="68"/>
      <c r="C9" s="80"/>
      <c r="D9" s="147"/>
      <c r="E9" s="147"/>
      <c r="F9" s="147"/>
      <c r="G9" s="147"/>
      <c r="H9" s="147"/>
      <c r="I9" s="147"/>
      <c r="J9" s="147"/>
      <c r="K9" s="147"/>
      <c r="L9" s="147"/>
      <c r="M9" s="147"/>
      <c r="N9" s="147"/>
      <c r="O9" s="147"/>
      <c r="P9" s="74"/>
      <c r="Q9" s="63"/>
      <c r="R9" s="168"/>
      <c r="S9" s="2" t="s">
        <v>12</v>
      </c>
      <c r="T9" s="159">
        <f>T6-T7-T8</f>
        <v>-4488.7699999999895</v>
      </c>
      <c r="AA9" s="169"/>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row>
    <row r="10" spans="1:53" x14ac:dyDescent="0.25">
      <c r="A10" s="63"/>
      <c r="B10" s="68"/>
      <c r="C10" s="93"/>
      <c r="D10" s="148"/>
      <c r="E10" s="148"/>
      <c r="F10" s="148"/>
      <c r="G10" s="148"/>
      <c r="H10" s="148"/>
      <c r="I10" s="148"/>
      <c r="J10" s="148"/>
      <c r="K10" s="148"/>
      <c r="L10" s="148"/>
      <c r="M10" s="148"/>
      <c r="N10" s="148"/>
      <c r="O10" s="148"/>
      <c r="P10" s="74"/>
      <c r="Q10" s="63"/>
      <c r="R10" s="168"/>
      <c r="S10" s="2" t="s">
        <v>232</v>
      </c>
      <c r="T10" s="158">
        <f>SUMIFS('BS Balances'!$G:$G,'BS Balances'!$H:$H,S10,'BS Balances'!$F:$F,'Month-end Dashboard'!$D$3)</f>
        <v>152582.79999999999</v>
      </c>
      <c r="AA10" s="169"/>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row>
    <row r="11" spans="1:53" x14ac:dyDescent="0.25">
      <c r="A11" s="63"/>
      <c r="B11" s="68"/>
      <c r="C11" s="89"/>
      <c r="D11" s="152"/>
      <c r="E11" s="152"/>
      <c r="F11" s="152"/>
      <c r="G11" s="152"/>
      <c r="H11" s="152"/>
      <c r="I11" s="152"/>
      <c r="J11" s="152"/>
      <c r="K11" s="152"/>
      <c r="L11" s="152"/>
      <c r="M11" s="152"/>
      <c r="N11" s="152"/>
      <c r="O11" s="152"/>
      <c r="P11" s="74"/>
      <c r="Q11" s="63"/>
      <c r="R11" s="168"/>
      <c r="AA11" s="169"/>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row>
    <row r="12" spans="1:53" x14ac:dyDescent="0.25">
      <c r="A12" s="63"/>
      <c r="B12" s="68"/>
      <c r="C12" s="93"/>
      <c r="D12" s="148"/>
      <c r="E12" s="148"/>
      <c r="F12" s="148"/>
      <c r="G12" s="148"/>
      <c r="H12" s="148"/>
      <c r="I12" s="148"/>
      <c r="J12" s="148"/>
      <c r="K12" s="148"/>
      <c r="L12" s="148"/>
      <c r="M12" s="148"/>
      <c r="N12" s="148"/>
      <c r="O12" s="148"/>
      <c r="P12" s="74"/>
      <c r="Q12" s="63"/>
      <c r="R12" s="168"/>
      <c r="S12" s="180" t="s">
        <v>392</v>
      </c>
      <c r="T12" s="181"/>
      <c r="U12" s="181"/>
      <c r="V12" s="181"/>
      <c r="W12" s="181"/>
      <c r="X12" s="181"/>
      <c r="Y12" s="181"/>
      <c r="Z12" s="161"/>
      <c r="AA12" s="169"/>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row>
    <row r="13" spans="1:53" x14ac:dyDescent="0.25">
      <c r="A13" s="63"/>
      <c r="B13" s="68"/>
      <c r="C13" s="89"/>
      <c r="D13" s="149"/>
      <c r="E13" s="149"/>
      <c r="F13" s="149"/>
      <c r="G13" s="149"/>
      <c r="H13" s="149"/>
      <c r="I13" s="149"/>
      <c r="J13" s="149"/>
      <c r="K13" s="149"/>
      <c r="L13" s="149"/>
      <c r="M13" s="149"/>
      <c r="N13" s="149"/>
      <c r="O13" s="149"/>
      <c r="P13" s="74"/>
      <c r="Q13" s="63"/>
      <c r="R13" s="168"/>
      <c r="S13" s="2" t="s">
        <v>246</v>
      </c>
      <c r="T13" s="2" t="s">
        <v>232</v>
      </c>
      <c r="U13" s="2" t="s">
        <v>208</v>
      </c>
      <c r="AA13" s="169"/>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row>
    <row r="14" spans="1:53" x14ac:dyDescent="0.25">
      <c r="A14" s="63"/>
      <c r="B14" s="68"/>
      <c r="C14" s="80"/>
      <c r="D14" s="147"/>
      <c r="E14" s="147"/>
      <c r="F14" s="147"/>
      <c r="G14" s="147"/>
      <c r="H14" s="147"/>
      <c r="I14" s="147"/>
      <c r="J14" s="147"/>
      <c r="K14" s="147"/>
      <c r="L14" s="147"/>
      <c r="M14" s="147"/>
      <c r="N14" s="147"/>
      <c r="O14" s="147"/>
      <c r="P14" s="74"/>
      <c r="Q14" s="63"/>
      <c r="R14" s="168"/>
      <c r="S14" s="162">
        <f>EOMONTH(D3,-11)</f>
        <v>45777</v>
      </c>
      <c r="T14" s="147">
        <f>SUMIFS('BS Balances'!$G:$G,'BS Balances'!$H:$H,T$13,'BS Balances'!$F:$F,$S14)</f>
        <v>569112.67000000004</v>
      </c>
      <c r="U14" s="147">
        <f>SUMIFS('IS GL Summary'!$F:$F,'IS GL Summary'!$B:$B,$S14,'IS GL Summary'!$H:$H,U$13)</f>
        <v>177061.40000000002</v>
      </c>
      <c r="AA14" s="169"/>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row>
    <row r="15" spans="1:53" x14ac:dyDescent="0.25">
      <c r="A15" s="63"/>
      <c r="B15" s="68"/>
      <c r="C15" s="80"/>
      <c r="D15" s="147"/>
      <c r="E15" s="147"/>
      <c r="F15" s="147"/>
      <c r="G15" s="147"/>
      <c r="H15" s="147"/>
      <c r="I15" s="147"/>
      <c r="J15" s="147"/>
      <c r="K15" s="147"/>
      <c r="L15" s="147"/>
      <c r="M15" s="147"/>
      <c r="N15" s="147"/>
      <c r="O15" s="147"/>
      <c r="P15" s="74"/>
      <c r="Q15" s="63"/>
      <c r="R15" s="168"/>
      <c r="S15" s="162">
        <f t="shared" ref="S15:S25" si="0">EOMONTH(S14,1)</f>
        <v>45808</v>
      </c>
      <c r="T15" s="147">
        <f>SUMIFS('BS Balances'!$G:$G,'BS Balances'!$H:$H,T$13,'BS Balances'!$F:$F,$S15)</f>
        <v>594143.94999999995</v>
      </c>
      <c r="U15" s="147">
        <f>SUMIFS('IS GL Summary'!$F:$F,'IS GL Summary'!$B:$B,$S15,'IS GL Summary'!$H:$H,U$13)</f>
        <v>183743.63</v>
      </c>
      <c r="AA15" s="169"/>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row>
    <row r="16" spans="1:53" x14ac:dyDescent="0.25">
      <c r="A16" s="63"/>
      <c r="B16" s="68"/>
      <c r="C16" s="93"/>
      <c r="D16" s="148"/>
      <c r="E16" s="148"/>
      <c r="F16" s="148"/>
      <c r="G16" s="148"/>
      <c r="H16" s="148"/>
      <c r="I16" s="148"/>
      <c r="J16" s="148"/>
      <c r="K16" s="148"/>
      <c r="L16" s="148"/>
      <c r="M16" s="148"/>
      <c r="N16" s="148"/>
      <c r="O16" s="148"/>
      <c r="P16" s="74"/>
      <c r="Q16" s="63"/>
      <c r="R16" s="168"/>
      <c r="S16" s="162">
        <f t="shared" si="0"/>
        <v>45838</v>
      </c>
      <c r="T16" s="147">
        <f>SUMIFS('BS Balances'!$G:$G,'BS Balances'!$H:$H,T$13,'BS Balances'!$F:$F,$S16)</f>
        <v>590291.4</v>
      </c>
      <c r="U16" s="147">
        <f>SUMIFS('IS GL Summary'!$F:$F,'IS GL Summary'!$B:$B,$S16,'IS GL Summary'!$H:$H,U$13)</f>
        <v>186888.96000000002</v>
      </c>
      <c r="AA16" s="169"/>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row>
    <row r="17" spans="1:53" x14ac:dyDescent="0.25">
      <c r="A17" s="63"/>
      <c r="B17" s="68"/>
      <c r="C17" s="89"/>
      <c r="D17" s="152"/>
      <c r="E17" s="152"/>
      <c r="F17" s="152"/>
      <c r="G17" s="152"/>
      <c r="H17" s="152"/>
      <c r="I17" s="152"/>
      <c r="J17" s="152"/>
      <c r="K17" s="152"/>
      <c r="L17" s="152"/>
      <c r="M17" s="152"/>
      <c r="N17" s="152"/>
      <c r="O17" s="152"/>
      <c r="P17" s="74"/>
      <c r="Q17" s="63"/>
      <c r="R17" s="168"/>
      <c r="S17" s="162">
        <f t="shared" si="0"/>
        <v>45869</v>
      </c>
      <c r="T17" s="147">
        <f>SUMIFS('BS Balances'!$G:$G,'BS Balances'!$H:$H,T$13,'BS Balances'!$F:$F,$S17)</f>
        <v>457562.5</v>
      </c>
      <c r="U17" s="147">
        <f>SUMIFS('IS GL Summary'!$F:$F,'IS GL Summary'!$B:$B,$S17,'IS GL Summary'!$H:$H,U$13)</f>
        <v>94116.22</v>
      </c>
      <c r="AA17" s="169"/>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row>
    <row r="18" spans="1:53" x14ac:dyDescent="0.25">
      <c r="A18" s="63"/>
      <c r="B18" s="68"/>
      <c r="C18" s="104"/>
      <c r="D18" s="106"/>
      <c r="E18" s="106"/>
      <c r="F18" s="106"/>
      <c r="G18" s="106"/>
      <c r="H18" s="106"/>
      <c r="I18" s="106"/>
      <c r="J18" s="106"/>
      <c r="K18" s="106"/>
      <c r="L18" s="106"/>
      <c r="M18" s="106"/>
      <c r="N18" s="106"/>
      <c r="O18" s="106"/>
      <c r="P18" s="74"/>
      <c r="Q18" s="63"/>
      <c r="R18" s="168"/>
      <c r="S18" s="162">
        <f t="shared" si="0"/>
        <v>45900</v>
      </c>
      <c r="T18" s="147">
        <f>SUMIFS('BS Balances'!$G:$G,'BS Balances'!$H:$H,T$13,'BS Balances'!$F:$F,$S18)</f>
        <v>392139.95</v>
      </c>
      <c r="U18" s="147">
        <f>SUMIFS('IS GL Summary'!$F:$F,'IS GL Summary'!$B:$B,$S18,'IS GL Summary'!$H:$H,U$13)</f>
        <v>166580.80000000002</v>
      </c>
      <c r="AA18" s="169"/>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row>
    <row r="19" spans="1:53" x14ac:dyDescent="0.25">
      <c r="A19" s="63"/>
      <c r="B19" s="68"/>
      <c r="C19" s="88"/>
      <c r="D19" s="88"/>
      <c r="E19" s="88"/>
      <c r="F19" s="88"/>
      <c r="G19" s="88"/>
      <c r="H19" s="88"/>
      <c r="I19" s="88"/>
      <c r="J19" s="88"/>
      <c r="K19" s="88"/>
      <c r="L19" s="88"/>
      <c r="M19" s="88"/>
      <c r="N19" s="88"/>
      <c r="O19" s="88"/>
      <c r="P19" s="74"/>
      <c r="Q19" s="63"/>
      <c r="R19" s="168"/>
      <c r="S19" s="162">
        <f t="shared" si="0"/>
        <v>45930</v>
      </c>
      <c r="T19" s="147">
        <f>SUMIFS('BS Balances'!$G:$G,'BS Balances'!$H:$H,T$13,'BS Balances'!$F:$F,$S19)</f>
        <v>311921.28999999998</v>
      </c>
      <c r="U19" s="147">
        <f>SUMIFS('IS GL Summary'!$F:$F,'IS GL Summary'!$B:$B,$S19,'IS GL Summary'!$H:$H,U$13)</f>
        <v>195588.2</v>
      </c>
      <c r="AA19" s="169"/>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row>
    <row r="20" spans="1:53" x14ac:dyDescent="0.25">
      <c r="A20" s="63"/>
      <c r="B20" s="68"/>
      <c r="C20" s="89"/>
      <c r="D20" s="150"/>
      <c r="E20" s="150"/>
      <c r="F20" s="150"/>
      <c r="G20" s="150"/>
      <c r="H20" s="150"/>
      <c r="I20" s="150"/>
      <c r="J20" s="150"/>
      <c r="K20" s="150"/>
      <c r="L20" s="150"/>
      <c r="M20" s="150"/>
      <c r="N20" s="150"/>
      <c r="O20" s="150"/>
      <c r="P20" s="74"/>
      <c r="Q20" s="63"/>
      <c r="R20" s="168"/>
      <c r="S20" s="162">
        <f t="shared" si="0"/>
        <v>45961</v>
      </c>
      <c r="T20" s="147">
        <f>SUMIFS('BS Balances'!$G:$G,'BS Balances'!$H:$H,T$13,'BS Balances'!$F:$F,$S20)</f>
        <v>341997.83</v>
      </c>
      <c r="U20" s="147">
        <f>SUMIFS('IS GL Summary'!$F:$F,'IS GL Summary'!$B:$B,$S20,'IS GL Summary'!$H:$H,U$13)</f>
        <v>166001.76999999999</v>
      </c>
      <c r="AA20" s="169"/>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row>
    <row r="21" spans="1:53" x14ac:dyDescent="0.25">
      <c r="A21" s="63"/>
      <c r="B21" s="68"/>
      <c r="C21" s="80"/>
      <c r="D21" s="147"/>
      <c r="E21" s="147"/>
      <c r="F21" s="147"/>
      <c r="G21" s="147"/>
      <c r="H21" s="147"/>
      <c r="I21" s="147"/>
      <c r="J21" s="147"/>
      <c r="K21" s="147"/>
      <c r="L21" s="147"/>
      <c r="M21" s="147"/>
      <c r="N21" s="147"/>
      <c r="O21" s="147"/>
      <c r="P21" s="74"/>
      <c r="Q21" s="63"/>
      <c r="R21" s="168"/>
      <c r="S21" s="162">
        <f t="shared" si="0"/>
        <v>45991</v>
      </c>
      <c r="T21" s="147">
        <f>SUMIFS('BS Balances'!$G:$G,'BS Balances'!$H:$H,T$13,'BS Balances'!$F:$F,$S21)</f>
        <v>272069.16000000003</v>
      </c>
      <c r="U21" s="147">
        <f>SUMIFS('IS GL Summary'!$F:$F,'IS GL Summary'!$B:$B,$S21,'IS GL Summary'!$H:$H,U$13)</f>
        <v>244826.34</v>
      </c>
      <c r="AA21" s="169"/>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row>
    <row r="22" spans="1:53" x14ac:dyDescent="0.25">
      <c r="A22" s="63"/>
      <c r="B22" s="68"/>
      <c r="C22" s="80"/>
      <c r="D22" s="147"/>
      <c r="E22" s="147"/>
      <c r="F22" s="147"/>
      <c r="G22" s="147"/>
      <c r="H22" s="147"/>
      <c r="I22" s="147"/>
      <c r="J22" s="147"/>
      <c r="K22" s="147"/>
      <c r="L22" s="147"/>
      <c r="M22" s="147"/>
      <c r="N22" s="147"/>
      <c r="O22" s="147"/>
      <c r="P22" s="74"/>
      <c r="Q22" s="63"/>
      <c r="R22" s="168"/>
      <c r="S22" s="162">
        <f t="shared" si="0"/>
        <v>46022</v>
      </c>
      <c r="T22" s="147">
        <f>SUMIFS('BS Balances'!$G:$G,'BS Balances'!$H:$H,T$13,'BS Balances'!$F:$F,$S22)</f>
        <v>289475.78999999998</v>
      </c>
      <c r="U22" s="147">
        <f>SUMIFS('IS GL Summary'!$F:$F,'IS GL Summary'!$B:$B,$S22,'IS GL Summary'!$H:$H,U$13)</f>
        <v>138169.94999999998</v>
      </c>
      <c r="AA22" s="169"/>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row>
    <row r="23" spans="1:53" x14ac:dyDescent="0.25">
      <c r="A23" s="63"/>
      <c r="B23" s="68"/>
      <c r="C23" s="80"/>
      <c r="D23" s="147"/>
      <c r="E23" s="147"/>
      <c r="F23" s="147"/>
      <c r="G23" s="147"/>
      <c r="H23" s="147"/>
      <c r="I23" s="147"/>
      <c r="J23" s="147"/>
      <c r="K23" s="147"/>
      <c r="L23" s="147"/>
      <c r="M23" s="147"/>
      <c r="N23" s="147"/>
      <c r="O23" s="147"/>
      <c r="P23" s="74"/>
      <c r="Q23" s="63"/>
      <c r="R23" s="168"/>
      <c r="S23" s="162">
        <f t="shared" si="0"/>
        <v>46053</v>
      </c>
      <c r="T23" s="147">
        <f>SUMIFS('BS Balances'!$G:$G,'BS Balances'!$H:$H,T$13,'BS Balances'!$F:$F,$S23)</f>
        <v>229008.54</v>
      </c>
      <c r="U23" s="147">
        <f>SUMIFS('IS GL Summary'!$F:$F,'IS GL Summary'!$B:$B,$S23,'IS GL Summary'!$H:$H,U$13)</f>
        <v>179268.83000000002</v>
      </c>
      <c r="AA23" s="169"/>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row>
    <row r="24" spans="1:53" x14ac:dyDescent="0.25">
      <c r="A24" s="63"/>
      <c r="B24" s="68"/>
      <c r="C24" s="80"/>
      <c r="D24" s="147"/>
      <c r="E24" s="147"/>
      <c r="F24" s="147"/>
      <c r="G24" s="147"/>
      <c r="H24" s="147"/>
      <c r="I24" s="147"/>
      <c r="J24" s="147"/>
      <c r="K24" s="147"/>
      <c r="L24" s="147"/>
      <c r="M24" s="147"/>
      <c r="N24" s="147"/>
      <c r="O24" s="147"/>
      <c r="P24" s="74"/>
      <c r="Q24" s="63"/>
      <c r="R24" s="168"/>
      <c r="S24" s="162">
        <f t="shared" si="0"/>
        <v>46081</v>
      </c>
      <c r="T24" s="147">
        <f>SUMIFS('BS Balances'!$G:$G,'BS Balances'!$H:$H,T$13,'BS Balances'!$F:$F,$S24)</f>
        <v>206196.36</v>
      </c>
      <c r="U24" s="147">
        <f>SUMIFS('IS GL Summary'!$F:$F,'IS GL Summary'!$B:$B,$S24,'IS GL Summary'!$H:$H,U$13)</f>
        <v>149131.45000000001</v>
      </c>
      <c r="AA24" s="169"/>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row>
    <row r="25" spans="1:53" x14ac:dyDescent="0.25">
      <c r="A25" s="63"/>
      <c r="B25" s="68"/>
      <c r="C25" s="80"/>
      <c r="D25" s="147"/>
      <c r="E25" s="147"/>
      <c r="F25" s="147"/>
      <c r="G25" s="147"/>
      <c r="H25" s="147"/>
      <c r="I25" s="147"/>
      <c r="J25" s="147"/>
      <c r="K25" s="147"/>
      <c r="L25" s="147"/>
      <c r="M25" s="147"/>
      <c r="N25" s="147"/>
      <c r="O25" s="147"/>
      <c r="P25" s="74"/>
      <c r="Q25" s="63"/>
      <c r="R25" s="168"/>
      <c r="S25" s="162">
        <f t="shared" si="0"/>
        <v>46112</v>
      </c>
      <c r="T25" s="147">
        <f>SUMIFS('BS Balances'!$G:$G,'BS Balances'!$H:$H,T$13,'BS Balances'!$F:$F,$S25)</f>
        <v>152582.79999999999</v>
      </c>
      <c r="U25" s="147">
        <f>SUMIFS('IS GL Summary'!$F:$F,'IS GL Summary'!$B:$B,$S25,'IS GL Summary'!$H:$H,U$13)</f>
        <v>131483.14000000001</v>
      </c>
      <c r="AA25" s="169"/>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row>
    <row r="26" spans="1:53" x14ac:dyDescent="0.25">
      <c r="A26" s="63"/>
      <c r="B26" s="68"/>
      <c r="C26" s="80"/>
      <c r="D26" s="147"/>
      <c r="E26" s="147"/>
      <c r="F26" s="147"/>
      <c r="G26" s="147"/>
      <c r="H26" s="147"/>
      <c r="I26" s="147"/>
      <c r="J26" s="147"/>
      <c r="K26" s="147"/>
      <c r="L26" s="147"/>
      <c r="M26" s="147"/>
      <c r="N26" s="147"/>
      <c r="O26" s="147"/>
      <c r="P26" s="74"/>
      <c r="Q26" s="63"/>
      <c r="R26" s="168"/>
      <c r="S26" s="163"/>
      <c r="T26" s="147"/>
      <c r="AA26" s="169"/>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row>
    <row r="27" spans="1:53" x14ac:dyDescent="0.25">
      <c r="A27" s="63"/>
      <c r="B27" s="68"/>
      <c r="C27" s="80"/>
      <c r="D27" s="147"/>
      <c r="E27" s="147"/>
      <c r="F27" s="147"/>
      <c r="G27" s="147"/>
      <c r="H27" s="147"/>
      <c r="I27" s="147"/>
      <c r="J27" s="147"/>
      <c r="K27" s="147"/>
      <c r="L27" s="147"/>
      <c r="M27" s="147"/>
      <c r="N27" s="147"/>
      <c r="O27" s="147"/>
      <c r="P27" s="74"/>
      <c r="Q27" s="63"/>
      <c r="R27" s="168"/>
      <c r="S27" s="180" t="s">
        <v>393</v>
      </c>
      <c r="T27" s="181"/>
      <c r="U27" s="181"/>
      <c r="V27" s="181"/>
      <c r="W27" s="181"/>
      <c r="X27" s="181"/>
      <c r="Y27" s="181"/>
      <c r="AA27" s="169"/>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row>
    <row r="28" spans="1:53" x14ac:dyDescent="0.25">
      <c r="A28" s="63"/>
      <c r="B28" s="68"/>
      <c r="C28" s="80"/>
      <c r="D28" s="147"/>
      <c r="E28" s="147"/>
      <c r="F28" s="147"/>
      <c r="G28" s="147"/>
      <c r="H28" s="147"/>
      <c r="I28" s="147"/>
      <c r="J28" s="147"/>
      <c r="K28" s="147"/>
      <c r="L28" s="147"/>
      <c r="M28" s="147"/>
      <c r="N28" s="147"/>
      <c r="O28" s="147"/>
      <c r="P28" s="74"/>
      <c r="Q28" s="63"/>
      <c r="R28" s="168"/>
      <c r="S28" s="176" t="s">
        <v>493</v>
      </c>
      <c r="T28" s="176" t="s">
        <v>494</v>
      </c>
      <c r="U28" s="176" t="s">
        <v>250</v>
      </c>
      <c r="AA28" s="169"/>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row>
    <row r="29" spans="1:53" x14ac:dyDescent="0.25">
      <c r="A29" s="63"/>
      <c r="B29" s="68"/>
      <c r="C29" s="80"/>
      <c r="D29" s="147"/>
      <c r="E29" s="147"/>
      <c r="F29" s="147"/>
      <c r="G29" s="147"/>
      <c r="H29" s="147"/>
      <c r="I29" s="147"/>
      <c r="J29" s="147"/>
      <c r="K29" s="147"/>
      <c r="L29" s="147"/>
      <c r="M29" s="147"/>
      <c r="N29" s="147"/>
      <c r="O29" s="147"/>
      <c r="P29" s="74"/>
      <c r="Q29" s="63"/>
      <c r="R29" s="168"/>
      <c r="S29" s="177">
        <f>EOMONTH(D3,-1)</f>
        <v>46081</v>
      </c>
      <c r="T29" s="209">
        <v>46054</v>
      </c>
      <c r="U29" s="147">
        <f>SUMIFS('BS Balances'!$G:$G,'BS Balances'!$H:$H,T$13,'BS Balances'!$F:$F,$S29)</f>
        <v>206196.36</v>
      </c>
      <c r="AA29" s="169"/>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row>
    <row r="30" spans="1:53" x14ac:dyDescent="0.25">
      <c r="A30" s="63"/>
      <c r="B30" s="68"/>
      <c r="C30" s="88"/>
      <c r="D30" s="148"/>
      <c r="E30" s="148"/>
      <c r="F30" s="148"/>
      <c r="G30" s="148"/>
      <c r="H30" s="148"/>
      <c r="I30" s="148"/>
      <c r="J30" s="148"/>
      <c r="K30" s="148"/>
      <c r="L30" s="148"/>
      <c r="M30" s="148"/>
      <c r="N30" s="148"/>
      <c r="O30" s="148"/>
      <c r="P30" s="74"/>
      <c r="Q30" s="63"/>
      <c r="R30" s="168"/>
      <c r="S30" s="178" t="s">
        <v>233</v>
      </c>
      <c r="T30" s="2" t="s">
        <v>486</v>
      </c>
      <c r="U30" s="147">
        <f>SUMIFS('BS GL Detail'!$M:$M,'BS GL Detail'!$H:$H,"Bank",'BS GL Detail'!$C:$C,$D$3,'BS GL Detail'!$Q:$Q,S30)</f>
        <v>73859.759999999995</v>
      </c>
      <c r="AA30" s="169"/>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row>
    <row r="31" spans="1:53" x14ac:dyDescent="0.25">
      <c r="A31" s="63"/>
      <c r="B31" s="68"/>
      <c r="C31" s="89"/>
      <c r="D31" s="152"/>
      <c r="E31" s="152"/>
      <c r="F31" s="152"/>
      <c r="G31" s="152"/>
      <c r="H31" s="152"/>
      <c r="I31" s="152"/>
      <c r="J31" s="152"/>
      <c r="K31" s="152"/>
      <c r="L31" s="152"/>
      <c r="M31" s="152"/>
      <c r="N31" s="152"/>
      <c r="O31" s="152"/>
      <c r="P31" s="74"/>
      <c r="Q31" s="63"/>
      <c r="R31" s="168"/>
      <c r="S31" s="178" t="s">
        <v>451</v>
      </c>
      <c r="T31" s="2" t="s">
        <v>127</v>
      </c>
      <c r="U31" s="147">
        <f>SUMIFS('BS GL Detail'!$M:$M,'BS GL Detail'!$H:$H,"Bank",'BS GL Detail'!$C:$C,$D$3,'BS GL Detail'!$Q:$Q,"Payroll &amp; Benefits")+SUMIFS('BS GL Detail'!$M:$M,'BS GL Detail'!$H:$H,"Bank",'BS GL Detail'!$C:$C,$D$3,'BS GL Detail'!$Q:$Q,"Other Current Liabilities")</f>
        <v>-71924.87</v>
      </c>
      <c r="AA31" s="169"/>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row>
    <row r="32" spans="1:53" x14ac:dyDescent="0.25">
      <c r="A32" s="63"/>
      <c r="B32" s="68"/>
      <c r="C32" s="88"/>
      <c r="D32" s="88"/>
      <c r="E32" s="88"/>
      <c r="F32" s="88"/>
      <c r="G32" s="88"/>
      <c r="H32" s="88"/>
      <c r="I32" s="88"/>
      <c r="J32" s="88"/>
      <c r="K32" s="88"/>
      <c r="L32" s="88"/>
      <c r="M32" s="88"/>
      <c r="N32" s="88"/>
      <c r="O32" s="88"/>
      <c r="P32" s="74"/>
      <c r="Q32" s="63"/>
      <c r="R32" s="168"/>
      <c r="S32" s="178" t="s">
        <v>162</v>
      </c>
      <c r="T32" s="2" t="s">
        <v>487</v>
      </c>
      <c r="U32" s="147">
        <f>SUMIFS('BS GL Detail'!$M:$M,'BS GL Detail'!$H:$H,"Bank",'BS GL Detail'!$C:$C,$D$3,'BS GL Detail'!$Q:$Q,S32)</f>
        <v>-41997.8</v>
      </c>
      <c r="AA32" s="169"/>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row>
    <row r="33" spans="1:53" x14ac:dyDescent="0.25">
      <c r="A33" s="63"/>
      <c r="B33" s="68"/>
      <c r="C33" s="89"/>
      <c r="D33" s="152"/>
      <c r="E33" s="152"/>
      <c r="F33" s="152"/>
      <c r="G33" s="152"/>
      <c r="H33" s="152"/>
      <c r="I33" s="152"/>
      <c r="J33" s="152"/>
      <c r="K33" s="152"/>
      <c r="L33" s="152"/>
      <c r="M33" s="152"/>
      <c r="N33" s="152"/>
      <c r="O33" s="152"/>
      <c r="P33" s="74"/>
      <c r="Q33" s="63"/>
      <c r="R33" s="168"/>
      <c r="S33" s="178" t="s">
        <v>452</v>
      </c>
      <c r="T33" s="2" t="s">
        <v>165</v>
      </c>
      <c r="U33" s="147">
        <f>SUMIFS('BS GL Detail'!$M:$M,'BS GL Detail'!$H:$H,"Bank",'BS GL Detail'!$C:$C,$D$3,'BS GL Detail'!$Q:$Q,S33)</f>
        <v>-12924.9</v>
      </c>
      <c r="AA33" s="169"/>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row>
    <row r="34" spans="1:53" x14ac:dyDescent="0.25">
      <c r="A34" s="63"/>
      <c r="B34" s="68"/>
      <c r="C34" s="88"/>
      <c r="D34" s="88"/>
      <c r="E34" s="88"/>
      <c r="F34" s="88"/>
      <c r="G34" s="88"/>
      <c r="H34" s="88"/>
      <c r="I34" s="88"/>
      <c r="J34" s="88"/>
      <c r="K34" s="88"/>
      <c r="L34" s="88"/>
      <c r="M34" s="88"/>
      <c r="N34" s="88"/>
      <c r="O34" s="88"/>
      <c r="P34" s="74"/>
      <c r="Q34" s="63"/>
      <c r="R34" s="168"/>
      <c r="S34" s="178" t="s">
        <v>453</v>
      </c>
      <c r="T34" s="2" t="s">
        <v>294</v>
      </c>
      <c r="U34" s="147" cm="1">
        <f t="array" ref="U34">SUMPRODUCT(('BS GL Detail'!$H$6:$H$183="Bank")*('BS GL Detail'!$C$6:$C$183=$D$3)*('BS GL Detail'!$Q$6:$Q$183&lt;&gt;"Accounts Receivable (A/R)")*('BS GL Detail'!$Q$6:$Q$183&lt;&gt;"Accounts Payable")*('BS GL Detail'!$Q$6:$Q$183&lt;&gt;"Payroll &amp; Benefits")*('BS GL Detail'!$Q$6:$Q$183&lt;&gt;"Other Current Liabilities")*('BS GL Detail'!$Q$6:$Q$183&lt;&gt;"Credit Card Payments")*('BS GL Detail'!$Q$6:$Q$183&lt;&gt;"Cash &amp; Cash Equivalents")*('BS GL Detail'!$M$6:$M$183))</f>
        <v>-625.75</v>
      </c>
      <c r="AA34" s="169"/>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row>
    <row r="35" spans="1:53" x14ac:dyDescent="0.25">
      <c r="A35" s="63"/>
      <c r="B35" s="68"/>
      <c r="C35" s="112"/>
      <c r="D35" s="147"/>
      <c r="E35" s="147"/>
      <c r="F35" s="147"/>
      <c r="G35" s="147"/>
      <c r="H35" s="147"/>
      <c r="I35" s="147"/>
      <c r="J35" s="147"/>
      <c r="K35" s="147"/>
      <c r="L35" s="147"/>
      <c r="M35" s="147"/>
      <c r="N35" s="147"/>
      <c r="O35" s="147"/>
      <c r="P35" s="74"/>
      <c r="Q35" s="63"/>
      <c r="R35" s="168"/>
      <c r="S35" s="177">
        <f>D3</f>
        <v>46112</v>
      </c>
      <c r="T35" s="209">
        <v>46082</v>
      </c>
      <c r="U35" s="147">
        <f>SUMIFS('BS Balances'!$G:$G,'BS Balances'!$H:$H,T$13,'BS Balances'!$F:$F,$S35)</f>
        <v>152582.79999999999</v>
      </c>
      <c r="AA35" s="169"/>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row>
    <row r="36" spans="1:53" x14ac:dyDescent="0.25">
      <c r="A36" s="63"/>
      <c r="B36" s="68"/>
      <c r="C36" s="88"/>
      <c r="D36" s="148"/>
      <c r="E36" s="148"/>
      <c r="F36" s="148"/>
      <c r="G36" s="148"/>
      <c r="H36" s="148"/>
      <c r="I36" s="148"/>
      <c r="J36" s="148"/>
      <c r="K36" s="148"/>
      <c r="L36" s="148"/>
      <c r="M36" s="148"/>
      <c r="N36" s="148"/>
      <c r="O36" s="148"/>
      <c r="P36" s="74"/>
      <c r="Q36" s="63"/>
      <c r="R36" s="168"/>
      <c r="AA36" s="169"/>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row>
    <row r="37" spans="1:53" x14ac:dyDescent="0.25">
      <c r="A37" s="63"/>
      <c r="B37" s="68"/>
      <c r="C37" s="89"/>
      <c r="D37" s="152"/>
      <c r="E37" s="152"/>
      <c r="F37" s="152"/>
      <c r="G37" s="152"/>
      <c r="H37" s="152"/>
      <c r="I37" s="152"/>
      <c r="J37" s="152"/>
      <c r="K37" s="152"/>
      <c r="L37" s="152"/>
      <c r="M37" s="152"/>
      <c r="N37" s="152"/>
      <c r="O37" s="152"/>
      <c r="P37" s="74"/>
      <c r="Q37" s="63"/>
      <c r="R37" s="168"/>
      <c r="AA37" s="169"/>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row>
    <row r="38" spans="1:53" x14ac:dyDescent="0.25">
      <c r="A38" s="63"/>
      <c r="B38" s="68"/>
      <c r="C38" s="104"/>
      <c r="D38" s="118"/>
      <c r="E38" s="118"/>
      <c r="F38" s="118"/>
      <c r="G38" s="118"/>
      <c r="H38" s="118"/>
      <c r="I38" s="118"/>
      <c r="J38" s="118"/>
      <c r="K38" s="118"/>
      <c r="L38" s="118"/>
      <c r="M38" s="118"/>
      <c r="N38" s="118"/>
      <c r="O38" s="118"/>
      <c r="P38" s="74"/>
      <c r="Q38" s="63"/>
      <c r="R38" s="168"/>
      <c r="S38" s="180" t="s">
        <v>140</v>
      </c>
      <c r="T38" s="181"/>
      <c r="U38" s="181"/>
      <c r="V38" s="181"/>
      <c r="W38" s="181"/>
      <c r="X38" s="181"/>
      <c r="Y38" s="181"/>
      <c r="AA38" s="169"/>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row>
    <row r="39" spans="1:53" x14ac:dyDescent="0.25">
      <c r="A39" s="63"/>
      <c r="Q39" s="63"/>
      <c r="R39" s="168"/>
      <c r="S39" s="165" t="str" cm="1">
        <f t="array" ref="S39:S43">SUBSTITUTE(_xlfn.TAKE(_xlfn.SORTBY(_xlfn._xlws.FILTER('AR Aging'!B:B,ISNUMBER(SEARCH("Total Customer",'AR Aging'!B:B))),_xlfn._xlws.FILTER('AR Aging'!H:H,ISNUMBER(SEARCH("Total Customer",'AR Aging'!B:B))),1),5),"Total Customer ","Customer ")</f>
        <v>Customer 1</v>
      </c>
      <c r="T39" s="147">
        <f>_xlfn.XLOOKUP("Total "&amp;S39,'AR Aging'!B:B,'AR Aging'!H:H)</f>
        <v>400</v>
      </c>
      <c r="AA39" s="169"/>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row>
    <row r="40" spans="1:53" x14ac:dyDescent="0.25">
      <c r="A40" s="63"/>
      <c r="Q40" s="63"/>
      <c r="R40" s="168"/>
      <c r="S40" s="165" t="str">
        <v>Customer 9</v>
      </c>
      <c r="T40" s="147">
        <f>_xlfn.XLOOKUP("Total "&amp;S40,'AR Aging'!B:B,'AR Aging'!H:H)</f>
        <v>1890</v>
      </c>
      <c r="AA40" s="169"/>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row>
    <row r="41" spans="1:53" x14ac:dyDescent="0.25">
      <c r="A41" s="63"/>
      <c r="Q41" s="63"/>
      <c r="R41" s="168"/>
      <c r="S41" s="165" t="str">
        <v>Customer 4</v>
      </c>
      <c r="T41" s="147">
        <f>_xlfn.XLOOKUP("Total "&amp;S41,'AR Aging'!B:B,'AR Aging'!H:H)</f>
        <v>2408.75</v>
      </c>
      <c r="AA41" s="169"/>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row>
    <row r="42" spans="1:53" x14ac:dyDescent="0.25">
      <c r="A42" s="63"/>
      <c r="B42" s="81"/>
      <c r="C42" s="119"/>
      <c r="D42" s="119"/>
      <c r="E42" s="119"/>
      <c r="F42" s="119"/>
      <c r="G42" s="119"/>
      <c r="H42" s="119"/>
      <c r="I42" s="119"/>
      <c r="J42" s="119"/>
      <c r="K42" s="119"/>
      <c r="L42" s="119"/>
      <c r="M42" s="119"/>
      <c r="N42" s="119"/>
      <c r="O42" s="119"/>
      <c r="P42" s="82"/>
      <c r="Q42" s="63"/>
      <c r="R42" s="168"/>
      <c r="S42" s="165" t="str">
        <v>Customer 2</v>
      </c>
      <c r="T42" s="147">
        <f>_xlfn.XLOOKUP("Total "&amp;S42,'AR Aging'!B:B,'AR Aging'!H:H)</f>
        <v>2572.5</v>
      </c>
      <c r="AA42" s="169"/>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row>
    <row r="43" spans="1:53" x14ac:dyDescent="0.25">
      <c r="A43" s="63"/>
      <c r="B43" s="63"/>
      <c r="C43" s="63"/>
      <c r="D43" s="63"/>
      <c r="E43" s="63"/>
      <c r="F43" s="63"/>
      <c r="G43" s="63"/>
      <c r="H43" s="63"/>
      <c r="I43" s="63"/>
      <c r="J43" s="63"/>
      <c r="K43" s="63"/>
      <c r="L43" s="63"/>
      <c r="M43" s="63"/>
      <c r="N43" s="63"/>
      <c r="O43" s="63"/>
      <c r="P43" s="63"/>
      <c r="Q43" s="63"/>
      <c r="R43" s="168"/>
      <c r="S43" s="165" t="str">
        <v>Customer 5</v>
      </c>
      <c r="T43" s="147">
        <f>_xlfn.XLOOKUP("Total "&amp;S43,'AR Aging'!B:B,'AR Aging'!H:H)</f>
        <v>3197.95</v>
      </c>
      <c r="AA43" s="169"/>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row>
    <row r="44" spans="1:53" x14ac:dyDescent="0.25">
      <c r="A44" s="63"/>
      <c r="B44" s="63"/>
      <c r="C44" s="63"/>
      <c r="D44" s="63"/>
      <c r="E44" s="63"/>
      <c r="F44" s="63"/>
      <c r="G44" s="63"/>
      <c r="H44" s="63"/>
      <c r="I44" s="63"/>
      <c r="J44" s="63"/>
      <c r="K44" s="63"/>
      <c r="L44" s="63"/>
      <c r="M44" s="63"/>
      <c r="N44" s="63"/>
      <c r="O44" s="63"/>
      <c r="P44" s="63"/>
      <c r="Q44" s="63"/>
      <c r="R44" s="168"/>
      <c r="AA44" s="169"/>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row>
    <row r="45" spans="1:53" x14ac:dyDescent="0.25">
      <c r="A45" s="63"/>
      <c r="B45" s="63"/>
      <c r="C45" s="63"/>
      <c r="D45" s="63"/>
      <c r="E45" s="63"/>
      <c r="F45" s="63"/>
      <c r="G45" s="63"/>
      <c r="H45" s="63"/>
      <c r="I45" s="63"/>
      <c r="J45" s="63"/>
      <c r="K45" s="63"/>
      <c r="L45" s="63"/>
      <c r="M45" s="63"/>
      <c r="N45" s="63"/>
      <c r="O45" s="63"/>
      <c r="P45" s="63"/>
      <c r="Q45" s="63"/>
      <c r="R45" s="168"/>
      <c r="AA45" s="169"/>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row>
    <row r="46" spans="1:53" x14ac:dyDescent="0.25">
      <c r="A46" s="63"/>
      <c r="B46" s="63"/>
      <c r="C46" s="63"/>
      <c r="D46" s="63"/>
      <c r="E46" s="63"/>
      <c r="F46" s="63"/>
      <c r="G46" s="63"/>
      <c r="H46" s="63"/>
      <c r="I46" s="63"/>
      <c r="J46" s="63"/>
      <c r="K46" s="63"/>
      <c r="L46" s="63"/>
      <c r="M46" s="63"/>
      <c r="N46" s="63"/>
      <c r="O46" s="63"/>
      <c r="P46" s="63"/>
      <c r="Q46" s="63"/>
      <c r="R46" s="168"/>
      <c r="AA46" s="169"/>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row>
    <row r="47" spans="1:53" x14ac:dyDescent="0.25">
      <c r="A47" s="63"/>
      <c r="B47" s="63"/>
      <c r="C47" s="63"/>
      <c r="D47" s="63"/>
      <c r="E47" s="63"/>
      <c r="F47" s="63"/>
      <c r="G47" s="63"/>
      <c r="H47" s="63"/>
      <c r="I47" s="63"/>
      <c r="J47" s="63"/>
      <c r="K47" s="63"/>
      <c r="L47" s="63"/>
      <c r="M47" s="63"/>
      <c r="N47" s="63"/>
      <c r="O47" s="63"/>
      <c r="P47" s="63"/>
      <c r="Q47" s="63"/>
      <c r="R47" s="168"/>
      <c r="S47" s="180" t="s">
        <v>449</v>
      </c>
      <c r="T47" s="181"/>
      <c r="U47" s="181"/>
      <c r="V47" s="181"/>
      <c r="W47" s="181"/>
      <c r="X47" s="181"/>
      <c r="Y47" s="181"/>
      <c r="AA47" s="169"/>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row>
    <row r="48" spans="1:53" x14ac:dyDescent="0.25">
      <c r="A48" s="63"/>
      <c r="B48" s="63"/>
      <c r="C48" s="63"/>
      <c r="D48" s="63"/>
      <c r="E48" s="63"/>
      <c r="F48" s="63"/>
      <c r="G48" s="63"/>
      <c r="H48" s="63"/>
      <c r="I48" s="63"/>
      <c r="J48" s="63"/>
      <c r="K48" s="63"/>
      <c r="L48" s="63"/>
      <c r="M48" s="63"/>
      <c r="N48" s="63"/>
      <c r="O48" s="63"/>
      <c r="P48" s="63"/>
      <c r="Q48" s="63"/>
      <c r="R48" s="168"/>
      <c r="AA48" s="169"/>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row>
    <row r="49" spans="1:53" x14ac:dyDescent="0.25">
      <c r="A49" s="63"/>
      <c r="B49" s="63"/>
      <c r="C49" s="63"/>
      <c r="D49" s="63"/>
      <c r="E49" s="63"/>
      <c r="F49" s="63"/>
      <c r="G49" s="63"/>
      <c r="H49" s="63"/>
      <c r="I49" s="63"/>
      <c r="J49" s="63"/>
      <c r="K49" s="63"/>
      <c r="L49" s="63"/>
      <c r="M49" s="63"/>
      <c r="N49" s="63"/>
      <c r="O49" s="63"/>
      <c r="P49" s="63"/>
      <c r="Q49" s="63"/>
      <c r="R49" s="168"/>
      <c r="AA49" s="169"/>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row>
    <row r="50" spans="1:53" ht="14.4" x14ac:dyDescent="0.3">
      <c r="A50" s="63"/>
      <c r="B50" s="63"/>
      <c r="C50" s="63"/>
      <c r="D50" s="63"/>
      <c r="E50" s="63"/>
      <c r="F50" s="63"/>
      <c r="G50" s="63"/>
      <c r="H50" s="63"/>
      <c r="I50" s="63"/>
      <c r="J50" s="63"/>
      <c r="K50" s="63"/>
      <c r="L50" s="63"/>
      <c r="M50" s="63"/>
      <c r="N50" s="63"/>
      <c r="O50" s="63"/>
      <c r="P50" s="63"/>
      <c r="Q50" s="63"/>
      <c r="R50" s="168"/>
      <c r="S50" s="185" t="s">
        <v>454</v>
      </c>
      <c r="T50" s="185" t="s">
        <v>456</v>
      </c>
      <c r="Y50" s="79" t="s">
        <v>457</v>
      </c>
      <c r="AA50" s="169"/>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row>
    <row r="51" spans="1:53" ht="14.4" x14ac:dyDescent="0.3">
      <c r="A51" s="63"/>
      <c r="B51" s="63"/>
      <c r="C51" s="63"/>
      <c r="D51" s="63"/>
      <c r="E51" s="63"/>
      <c r="F51" s="63"/>
      <c r="G51" s="63"/>
      <c r="H51" s="63"/>
      <c r="I51" s="63"/>
      <c r="J51" s="63"/>
      <c r="K51" s="63"/>
      <c r="L51" s="63"/>
      <c r="M51" s="63"/>
      <c r="N51" s="63"/>
      <c r="O51" s="63"/>
      <c r="P51" s="63"/>
      <c r="Q51" s="63"/>
      <c r="R51" s="168"/>
      <c r="S51" s="186" t="s">
        <v>218</v>
      </c>
      <c r="T51" s="182">
        <v>55506.25</v>
      </c>
      <c r="Y51" s="2" t="str">
        <f>S51</f>
        <v>G&amp;A Payroll</v>
      </c>
      <c r="Z51" s="164">
        <f>T51</f>
        <v>55506.25</v>
      </c>
      <c r="AA51" s="169"/>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row>
    <row r="52" spans="1:53" ht="14.4" x14ac:dyDescent="0.3">
      <c r="A52" s="63"/>
      <c r="B52" s="63"/>
      <c r="C52" s="63"/>
      <c r="D52" s="63"/>
      <c r="E52" s="63"/>
      <c r="F52" s="63"/>
      <c r="G52" s="63"/>
      <c r="H52" s="63"/>
      <c r="I52" s="63"/>
      <c r="J52" s="63"/>
      <c r="K52" s="63"/>
      <c r="L52" s="63"/>
      <c r="M52" s="63"/>
      <c r="N52" s="63"/>
      <c r="O52" s="63"/>
      <c r="P52" s="63"/>
      <c r="Q52" s="63"/>
      <c r="R52" s="168"/>
      <c r="S52" s="187" t="s">
        <v>219</v>
      </c>
      <c r="T52" s="183">
        <v>13385.7</v>
      </c>
      <c r="Y52" s="2" t="str">
        <f t="shared" ref="Y52:Z55" si="1">S52</f>
        <v>Professional Fees</v>
      </c>
      <c r="Z52" s="164">
        <f t="shared" si="1"/>
        <v>13385.7</v>
      </c>
      <c r="AA52" s="169"/>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row>
    <row r="53" spans="1:53" ht="14.4" x14ac:dyDescent="0.3">
      <c r="A53" s="63"/>
      <c r="B53" s="63"/>
      <c r="C53" s="63"/>
      <c r="D53" s="63"/>
      <c r="E53" s="63"/>
      <c r="F53" s="63"/>
      <c r="G53" s="63"/>
      <c r="H53" s="63"/>
      <c r="I53" s="63"/>
      <c r="J53" s="63"/>
      <c r="K53" s="63"/>
      <c r="L53" s="63"/>
      <c r="M53" s="63"/>
      <c r="N53" s="63"/>
      <c r="O53" s="63"/>
      <c r="P53" s="63"/>
      <c r="Q53" s="63"/>
      <c r="R53" s="168"/>
      <c r="S53" s="187" t="s">
        <v>222</v>
      </c>
      <c r="T53" s="183">
        <v>4403.2299999999996</v>
      </c>
      <c r="Y53" s="2" t="str">
        <f t="shared" si="1"/>
        <v>Business Development</v>
      </c>
      <c r="Z53" s="164">
        <f t="shared" si="1"/>
        <v>4403.2299999999996</v>
      </c>
      <c r="AA53" s="169"/>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row>
    <row r="54" spans="1:53" ht="14.4" x14ac:dyDescent="0.3">
      <c r="A54" s="63"/>
      <c r="B54" s="63"/>
      <c r="C54" s="63"/>
      <c r="D54" s="63"/>
      <c r="E54" s="63"/>
      <c r="F54" s="63"/>
      <c r="G54" s="63"/>
      <c r="H54" s="63"/>
      <c r="I54" s="63"/>
      <c r="J54" s="63"/>
      <c r="K54" s="63"/>
      <c r="L54" s="63"/>
      <c r="M54" s="63"/>
      <c r="N54" s="63"/>
      <c r="O54" s="63"/>
      <c r="P54" s="63"/>
      <c r="Q54" s="63"/>
      <c r="R54" s="168"/>
      <c r="S54" s="187" t="s">
        <v>126</v>
      </c>
      <c r="T54" s="183">
        <v>2490.19</v>
      </c>
      <c r="Y54" s="2" t="str">
        <f t="shared" si="1"/>
        <v>Software</v>
      </c>
      <c r="Z54" s="164">
        <f t="shared" si="1"/>
        <v>2490.19</v>
      </c>
      <c r="AA54" s="169"/>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row>
    <row r="55" spans="1:53" ht="14.4" x14ac:dyDescent="0.3">
      <c r="A55" s="63"/>
      <c r="B55" s="63"/>
      <c r="C55" s="63"/>
      <c r="D55" s="63"/>
      <c r="E55" s="63"/>
      <c r="F55" s="63"/>
      <c r="G55" s="63"/>
      <c r="H55" s="63"/>
      <c r="I55" s="63"/>
      <c r="J55" s="63"/>
      <c r="K55" s="63"/>
      <c r="L55" s="63"/>
      <c r="M55" s="63"/>
      <c r="N55" s="63"/>
      <c r="O55" s="63"/>
      <c r="P55" s="63"/>
      <c r="Q55" s="63"/>
      <c r="R55" s="168"/>
      <c r="S55" s="187" t="s">
        <v>223</v>
      </c>
      <c r="T55" s="183">
        <v>1469.3600000000001</v>
      </c>
      <c r="Y55" s="2" t="str">
        <f t="shared" si="1"/>
        <v>Insurance</v>
      </c>
      <c r="Z55" s="164">
        <f t="shared" si="1"/>
        <v>1469.3600000000001</v>
      </c>
      <c r="AA55" s="169"/>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row>
    <row r="56" spans="1:53" ht="14.4" x14ac:dyDescent="0.3">
      <c r="A56" s="63"/>
      <c r="B56" s="63"/>
      <c r="C56" s="63"/>
      <c r="D56" s="63"/>
      <c r="E56" s="63"/>
      <c r="F56" s="63"/>
      <c r="G56" s="63"/>
      <c r="H56" s="63"/>
      <c r="I56" s="63"/>
      <c r="J56" s="63"/>
      <c r="K56" s="63"/>
      <c r="L56" s="63"/>
      <c r="M56" s="63"/>
      <c r="N56" s="63"/>
      <c r="O56" s="63"/>
      <c r="P56" s="63"/>
      <c r="Q56" s="63"/>
      <c r="R56" s="168"/>
      <c r="S56" s="187" t="s">
        <v>217</v>
      </c>
      <c r="T56" s="183">
        <v>1256.25</v>
      </c>
      <c r="AA56" s="169"/>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row>
    <row r="57" spans="1:53" ht="14.4" x14ac:dyDescent="0.3">
      <c r="A57" s="63"/>
      <c r="B57" s="63"/>
      <c r="C57" s="63"/>
      <c r="D57" s="63"/>
      <c r="E57" s="63"/>
      <c r="F57" s="63"/>
      <c r="G57" s="63"/>
      <c r="H57" s="63"/>
      <c r="I57" s="63"/>
      <c r="J57" s="63"/>
      <c r="K57" s="63"/>
      <c r="L57" s="63"/>
      <c r="M57" s="63"/>
      <c r="N57" s="63"/>
      <c r="O57" s="63"/>
      <c r="P57" s="63"/>
      <c r="Q57" s="63"/>
      <c r="R57" s="168"/>
      <c r="S57" s="187" t="s">
        <v>221</v>
      </c>
      <c r="T57" s="183">
        <v>697.38000000000011</v>
      </c>
      <c r="AA57" s="169"/>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row>
    <row r="58" spans="1:53" ht="14.4" x14ac:dyDescent="0.3">
      <c r="A58" s="63"/>
      <c r="B58" s="63"/>
      <c r="C58" s="63"/>
      <c r="D58" s="63"/>
      <c r="E58" s="63"/>
      <c r="F58" s="63"/>
      <c r="G58" s="63"/>
      <c r="H58" s="63"/>
      <c r="I58" s="63"/>
      <c r="J58" s="63"/>
      <c r="K58" s="63"/>
      <c r="L58" s="63"/>
      <c r="M58" s="63"/>
      <c r="N58" s="63"/>
      <c r="O58" s="63"/>
      <c r="P58" s="63"/>
      <c r="Q58" s="63"/>
      <c r="R58" s="168"/>
      <c r="S58" s="188" t="s">
        <v>220</v>
      </c>
      <c r="T58" s="183">
        <v>28.88</v>
      </c>
      <c r="AA58" s="169"/>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row>
    <row r="59" spans="1:53" ht="14.4" x14ac:dyDescent="0.3">
      <c r="A59" s="63"/>
      <c r="B59" s="63"/>
      <c r="C59" s="63"/>
      <c r="D59" s="63"/>
      <c r="E59" s="63"/>
      <c r="F59" s="63"/>
      <c r="G59" s="63"/>
      <c r="H59" s="63"/>
      <c r="I59" s="63"/>
      <c r="J59" s="63"/>
      <c r="K59" s="63"/>
      <c r="L59" s="63"/>
      <c r="M59" s="63"/>
      <c r="N59" s="63"/>
      <c r="O59" s="63"/>
      <c r="P59" s="63"/>
      <c r="Q59" s="63"/>
      <c r="R59" s="168"/>
      <c r="S59" s="189" t="s">
        <v>455</v>
      </c>
      <c r="T59" s="184">
        <v>79237.240000000005</v>
      </c>
      <c r="AA59" s="169"/>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row>
    <row r="60" spans="1:53" x14ac:dyDescent="0.25">
      <c r="A60" s="63"/>
      <c r="B60" s="63"/>
      <c r="C60" s="63"/>
      <c r="D60" s="63"/>
      <c r="E60" s="63"/>
      <c r="F60" s="63"/>
      <c r="G60" s="63"/>
      <c r="H60" s="63"/>
      <c r="I60" s="63"/>
      <c r="J60" s="63"/>
      <c r="K60" s="63"/>
      <c r="L60" s="63"/>
      <c r="M60" s="63"/>
      <c r="N60" s="63"/>
      <c r="O60" s="63"/>
      <c r="P60" s="63"/>
      <c r="Q60" s="63"/>
      <c r="R60" s="168"/>
      <c r="AA60" s="169"/>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row>
    <row r="61" spans="1:53" x14ac:dyDescent="0.25">
      <c r="A61" s="63"/>
      <c r="B61" s="63"/>
      <c r="C61" s="63"/>
      <c r="D61" s="63"/>
      <c r="E61" s="63"/>
      <c r="F61" s="63"/>
      <c r="G61" s="63"/>
      <c r="H61" s="63"/>
      <c r="I61" s="63"/>
      <c r="J61" s="63"/>
      <c r="K61" s="63"/>
      <c r="L61" s="63"/>
      <c r="M61" s="63"/>
      <c r="N61" s="63"/>
      <c r="O61" s="63"/>
      <c r="P61" s="63"/>
      <c r="Q61" s="63"/>
      <c r="R61" s="168"/>
      <c r="AA61" s="169"/>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row>
    <row r="62" spans="1:53" x14ac:dyDescent="0.25">
      <c r="A62" s="63"/>
      <c r="B62" s="63"/>
      <c r="C62" s="63"/>
      <c r="D62" s="63"/>
      <c r="E62" s="63"/>
      <c r="F62" s="63"/>
      <c r="G62" s="63"/>
      <c r="H62" s="63"/>
      <c r="I62" s="63"/>
      <c r="J62" s="63"/>
      <c r="K62" s="63"/>
      <c r="L62" s="63"/>
      <c r="M62" s="63"/>
      <c r="N62" s="63"/>
      <c r="O62" s="63"/>
      <c r="P62" s="63"/>
      <c r="Q62" s="63"/>
      <c r="R62" s="168"/>
      <c r="AA62" s="169"/>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row>
    <row r="63" spans="1:53" x14ac:dyDescent="0.25">
      <c r="A63" s="63"/>
      <c r="B63" s="63"/>
      <c r="C63" s="63"/>
      <c r="D63" s="63"/>
      <c r="E63" s="63"/>
      <c r="F63" s="63"/>
      <c r="G63" s="63"/>
      <c r="H63" s="63"/>
      <c r="I63" s="63"/>
      <c r="J63" s="63"/>
      <c r="K63" s="63"/>
      <c r="L63" s="63"/>
      <c r="M63" s="63"/>
      <c r="N63" s="63"/>
      <c r="O63" s="63"/>
      <c r="P63" s="63"/>
      <c r="Q63" s="63"/>
      <c r="R63" s="168"/>
      <c r="AA63" s="169"/>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row>
    <row r="64" spans="1:53" x14ac:dyDescent="0.25">
      <c r="A64" s="63"/>
      <c r="B64" s="63"/>
      <c r="C64" s="63"/>
      <c r="D64" s="63"/>
      <c r="E64" s="63"/>
      <c r="F64" s="63"/>
      <c r="G64" s="63"/>
      <c r="H64" s="63"/>
      <c r="I64" s="63"/>
      <c r="J64" s="63"/>
      <c r="K64" s="63"/>
      <c r="L64" s="63"/>
      <c r="M64" s="63"/>
      <c r="N64" s="63"/>
      <c r="O64" s="63"/>
      <c r="P64" s="63"/>
      <c r="Q64" s="63"/>
      <c r="R64" s="168"/>
      <c r="AA64" s="169"/>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row>
    <row r="65" spans="1:53" x14ac:dyDescent="0.25">
      <c r="A65" s="63"/>
      <c r="B65" s="63"/>
      <c r="C65" s="63"/>
      <c r="D65" s="63"/>
      <c r="E65" s="63"/>
      <c r="F65" s="63"/>
      <c r="G65" s="63"/>
      <c r="H65" s="63"/>
      <c r="I65" s="63"/>
      <c r="J65" s="63"/>
      <c r="K65" s="63"/>
      <c r="L65" s="63"/>
      <c r="M65" s="63"/>
      <c r="N65" s="63"/>
      <c r="O65" s="63"/>
      <c r="P65" s="63"/>
      <c r="Q65" s="63"/>
      <c r="R65" s="168"/>
      <c r="AA65" s="169"/>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row>
    <row r="66" spans="1:53" x14ac:dyDescent="0.25">
      <c r="A66" s="63"/>
      <c r="B66" s="63"/>
      <c r="C66" s="63"/>
      <c r="D66" s="63"/>
      <c r="E66" s="63"/>
      <c r="F66" s="63"/>
      <c r="G66" s="63"/>
      <c r="H66" s="63"/>
      <c r="I66" s="63"/>
      <c r="J66" s="63"/>
      <c r="K66" s="63"/>
      <c r="L66" s="63"/>
      <c r="M66" s="63"/>
      <c r="N66" s="63"/>
      <c r="O66" s="63"/>
      <c r="P66" s="63"/>
      <c r="Q66" s="63"/>
      <c r="R66" s="168"/>
      <c r="AA66" s="169"/>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row>
    <row r="67" spans="1:53" x14ac:dyDescent="0.25">
      <c r="A67" s="63"/>
      <c r="B67" s="63"/>
      <c r="C67" s="63"/>
      <c r="D67" s="63"/>
      <c r="E67" s="63"/>
      <c r="F67" s="63"/>
      <c r="G67" s="63"/>
      <c r="H67" s="63"/>
      <c r="I67" s="63"/>
      <c r="J67" s="63"/>
      <c r="K67" s="63"/>
      <c r="L67" s="63"/>
      <c r="M67" s="63"/>
      <c r="N67" s="63"/>
      <c r="O67" s="63"/>
      <c r="P67" s="63"/>
      <c r="Q67" s="63"/>
      <c r="R67" s="168"/>
      <c r="AA67" s="169"/>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row>
    <row r="68" spans="1:53" x14ac:dyDescent="0.25">
      <c r="A68" s="63"/>
      <c r="B68" s="63"/>
      <c r="C68" s="63"/>
      <c r="D68" s="63"/>
      <c r="E68" s="63"/>
      <c r="F68" s="63"/>
      <c r="G68" s="63"/>
      <c r="H68" s="63"/>
      <c r="I68" s="63"/>
      <c r="J68" s="63"/>
      <c r="K68" s="63"/>
      <c r="L68" s="63"/>
      <c r="M68" s="63"/>
      <c r="N68" s="63"/>
      <c r="O68" s="63"/>
      <c r="P68" s="63"/>
      <c r="Q68" s="63"/>
      <c r="R68" s="168"/>
      <c r="S68" s="180" t="s">
        <v>162</v>
      </c>
      <c r="T68" s="181"/>
      <c r="U68" s="181"/>
      <c r="V68" s="181"/>
      <c r="W68" s="181"/>
      <c r="X68" s="181"/>
      <c r="Y68" s="181"/>
      <c r="AA68" s="169"/>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row>
    <row r="69" spans="1:53" x14ac:dyDescent="0.25">
      <c r="A69" s="63"/>
      <c r="B69" s="63"/>
      <c r="C69" s="63"/>
      <c r="D69" s="63"/>
      <c r="E69" s="63"/>
      <c r="F69" s="63"/>
      <c r="G69" s="63"/>
      <c r="H69" s="63"/>
      <c r="I69" s="63"/>
      <c r="J69" s="63"/>
      <c r="K69" s="63"/>
      <c r="L69" s="63"/>
      <c r="M69" s="63"/>
      <c r="N69" s="63"/>
      <c r="O69" s="63"/>
      <c r="P69" s="63"/>
      <c r="Q69" s="63"/>
      <c r="R69" s="168"/>
      <c r="S69" s="165" t="str" cm="1">
        <f t="array" ref="S69:S73">_xlfn.TAKE(_xlfn.SORTBY(_xlfn._xlws.FILTER('AP Aging'!B:B,('AP Aging'!H:H&lt;&gt;"")*(LEFT('AP Aging'!B:B,5)&lt;&gt;"Total")*('AP Aging'!B:B&lt;&gt;"Vendor")),_xlfn._xlws.FILTER('AP Aging'!H:H,('AP Aging'!H:H&lt;&gt;"")*(LEFT('AP Aging'!B:B,5)&lt;&gt;"Total")*('AP Aging'!B:B&lt;&gt;"Vendor")),-1),5)</f>
        <v>Vendor 2</v>
      </c>
      <c r="T69" s="147">
        <f>_xlfn.XLOOKUP(S69,'AP Aging'!B:B,'AP Aging'!H:H)</f>
        <v>1725.58</v>
      </c>
      <c r="AA69" s="169"/>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row>
    <row r="70" spans="1:53" x14ac:dyDescent="0.25">
      <c r="A70" s="63"/>
      <c r="B70" s="63"/>
      <c r="C70" s="63"/>
      <c r="D70" s="63"/>
      <c r="E70" s="63"/>
      <c r="F70" s="63"/>
      <c r="G70" s="63"/>
      <c r="H70" s="63"/>
      <c r="I70" s="63"/>
      <c r="J70" s="63"/>
      <c r="K70" s="63"/>
      <c r="L70" s="63"/>
      <c r="M70" s="63"/>
      <c r="N70" s="63"/>
      <c r="O70" s="63"/>
      <c r="P70" s="63"/>
      <c r="Q70" s="63"/>
      <c r="R70" s="168"/>
      <c r="S70" s="165" t="str">
        <v>Vendor 1</v>
      </c>
      <c r="T70" s="147">
        <f>_xlfn.XLOOKUP(S70,'AP Aging'!B:B,'AP Aging'!H:H)</f>
        <v>1600</v>
      </c>
      <c r="AA70" s="169"/>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row>
    <row r="71" spans="1:53" x14ac:dyDescent="0.25">
      <c r="A71" s="63"/>
      <c r="B71" s="63"/>
      <c r="C71" s="63"/>
      <c r="D71" s="63"/>
      <c r="E71" s="63"/>
      <c r="F71" s="63"/>
      <c r="G71" s="63"/>
      <c r="H71" s="63"/>
      <c r="I71" s="63"/>
      <c r="J71" s="63"/>
      <c r="K71" s="63"/>
      <c r="L71" s="63"/>
      <c r="M71" s="63"/>
      <c r="N71" s="63"/>
      <c r="O71" s="63"/>
      <c r="P71" s="63"/>
      <c r="Q71" s="63"/>
      <c r="R71" s="168"/>
      <c r="S71" s="165" t="str">
        <v>Vendor 6</v>
      </c>
      <c r="T71" s="147">
        <f>_xlfn.XLOOKUP(S71,'AP Aging'!B:B,'AP Aging'!H:H)</f>
        <v>1500</v>
      </c>
      <c r="AA71" s="169"/>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row>
    <row r="72" spans="1:53" x14ac:dyDescent="0.25">
      <c r="A72" s="63"/>
      <c r="B72" s="63"/>
      <c r="C72" s="63"/>
      <c r="D72" s="63"/>
      <c r="E72" s="63"/>
      <c r="F72" s="63"/>
      <c r="G72" s="63"/>
      <c r="H72" s="63"/>
      <c r="I72" s="63"/>
      <c r="J72" s="63"/>
      <c r="K72" s="63"/>
      <c r="L72" s="63"/>
      <c r="M72" s="63"/>
      <c r="N72" s="63"/>
      <c r="O72" s="63"/>
      <c r="P72" s="63"/>
      <c r="Q72" s="63"/>
      <c r="R72" s="168"/>
      <c r="S72" s="165" t="str">
        <v>Vendor 3</v>
      </c>
      <c r="T72" s="147">
        <f>_xlfn.XLOOKUP(S72,'AP Aging'!B:B,'AP Aging'!H:H)</f>
        <v>987.48</v>
      </c>
      <c r="AA72" s="169"/>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row>
    <row r="73" spans="1:53" x14ac:dyDescent="0.25">
      <c r="A73" s="63"/>
      <c r="B73" s="63"/>
      <c r="C73" s="63"/>
      <c r="D73" s="63"/>
      <c r="E73" s="63"/>
      <c r="F73" s="63"/>
      <c r="G73" s="63"/>
      <c r="H73" s="63"/>
      <c r="I73" s="63"/>
      <c r="J73" s="63"/>
      <c r="K73" s="63"/>
      <c r="L73" s="63"/>
      <c r="M73" s="63"/>
      <c r="N73" s="63"/>
      <c r="O73" s="63"/>
      <c r="P73" s="63"/>
      <c r="Q73" s="63"/>
      <c r="R73" s="168"/>
      <c r="S73" s="165" t="str">
        <v>Vendor 7</v>
      </c>
      <c r="T73" s="147">
        <f>_xlfn.XLOOKUP(S73,'AP Aging'!B:B,'AP Aging'!H:H)</f>
        <v>251.62</v>
      </c>
      <c r="AA73" s="169"/>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row>
    <row r="74" spans="1:53" x14ac:dyDescent="0.25">
      <c r="A74" s="63"/>
      <c r="B74" s="63"/>
      <c r="C74" s="63"/>
      <c r="D74" s="63"/>
      <c r="E74" s="63"/>
      <c r="F74" s="63"/>
      <c r="G74" s="63"/>
      <c r="H74" s="63"/>
      <c r="I74" s="63"/>
      <c r="J74" s="63"/>
      <c r="K74" s="63"/>
      <c r="L74" s="63"/>
      <c r="M74" s="63"/>
      <c r="N74" s="63"/>
      <c r="O74" s="63"/>
      <c r="P74" s="63"/>
      <c r="Q74" s="63"/>
      <c r="R74" s="168"/>
      <c r="AA74" s="169"/>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row>
    <row r="75" spans="1:53" x14ac:dyDescent="0.25">
      <c r="A75" s="63"/>
      <c r="B75" s="63"/>
      <c r="C75" s="63"/>
      <c r="D75" s="63"/>
      <c r="E75" s="63"/>
      <c r="F75" s="63"/>
      <c r="G75" s="63"/>
      <c r="H75" s="63"/>
      <c r="I75" s="63"/>
      <c r="J75" s="63"/>
      <c r="K75" s="63"/>
      <c r="L75" s="63"/>
      <c r="M75" s="63"/>
      <c r="N75" s="63"/>
      <c r="O75" s="63"/>
      <c r="P75" s="63"/>
      <c r="Q75" s="63"/>
      <c r="R75" s="168"/>
      <c r="AA75" s="169"/>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row>
    <row r="76" spans="1:53" x14ac:dyDescent="0.25">
      <c r="A76" s="63"/>
      <c r="B76" s="63"/>
      <c r="C76" s="63"/>
      <c r="D76" s="63"/>
      <c r="E76" s="63"/>
      <c r="F76" s="63"/>
      <c r="G76" s="63"/>
      <c r="H76" s="63"/>
      <c r="I76" s="63"/>
      <c r="J76" s="63"/>
      <c r="K76" s="63"/>
      <c r="L76" s="63"/>
      <c r="M76" s="63"/>
      <c r="N76" s="63"/>
      <c r="O76" s="63"/>
      <c r="P76" s="63"/>
      <c r="Q76" s="63"/>
      <c r="R76" s="168"/>
      <c r="S76" s="180" t="s">
        <v>488</v>
      </c>
      <c r="T76" s="181"/>
      <c r="U76" s="181"/>
      <c r="V76" s="181"/>
      <c r="W76" s="181"/>
      <c r="X76" s="181"/>
      <c r="Y76" s="181"/>
      <c r="AA76" s="169"/>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row>
    <row r="77" spans="1:53" x14ac:dyDescent="0.25">
      <c r="A77" s="63"/>
      <c r="B77" s="63"/>
      <c r="C77" s="63"/>
      <c r="D77" s="63"/>
      <c r="E77" s="63"/>
      <c r="F77" s="63"/>
      <c r="G77" s="63"/>
      <c r="H77" s="63"/>
      <c r="I77" s="63"/>
      <c r="J77" s="63"/>
      <c r="K77" s="63"/>
      <c r="L77" s="63"/>
      <c r="M77" s="63"/>
      <c r="N77" s="63"/>
      <c r="O77" s="63"/>
      <c r="P77" s="63"/>
      <c r="Q77" s="63"/>
      <c r="R77" s="168"/>
      <c r="S77" s="165" t="str" cm="1">
        <f t="array" ref="S77:S81">_xlfn.TAKE(_xlfn.SORTBY(_xlfn.UNIQUE(_xlfn._xlws.FILTER('IS GL Detail'!J:J,('IS GL Detail'!C:C=$D$3)*('IS GL Detail'!J:J&lt;&gt;"Intentionally left blank for demo")*('IS GL Detail'!J:J&lt;&gt;"Customer/Vendor")*('IS GL Detail'!J:J&lt;&gt;""))),SUMIFS('IS GL Detail'!M:M,'IS GL Detail'!J:J,_xlfn.UNIQUE(_xlfn._xlws.FILTER('IS GL Detail'!J:J,('IS GL Detail'!C:C=$D$3)*('IS GL Detail'!J:J&lt;&gt;"Intentionally left blank for demo")*('IS GL Detail'!J:J&lt;&gt;"Customer/Vendor")*('IS GL Detail'!J:J&lt;&gt;""))),'IS GL Detail'!C:C,$D$3),-1),5)</f>
        <v>G&amp;A Payroll Detail</v>
      </c>
      <c r="T77" s="147">
        <f>SUMIFS('IS GL Detail'!$M:$M,'IS GL Detail'!$J:$J,'Month-end Dashboard'!S77)</f>
        <v>55506.249999999993</v>
      </c>
      <c r="AA77" s="169"/>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row>
    <row r="78" spans="1:53" x14ac:dyDescent="0.25">
      <c r="A78" s="63"/>
      <c r="B78" s="63"/>
      <c r="C78" s="63"/>
      <c r="D78" s="63"/>
      <c r="E78" s="63"/>
      <c r="F78" s="63"/>
      <c r="G78" s="63"/>
      <c r="H78" s="63"/>
      <c r="I78" s="63"/>
      <c r="J78" s="63"/>
      <c r="K78" s="63"/>
      <c r="L78" s="63"/>
      <c r="M78" s="63"/>
      <c r="N78" s="63"/>
      <c r="O78" s="63"/>
      <c r="P78" s="63"/>
      <c r="Q78" s="63"/>
      <c r="R78" s="168"/>
      <c r="S78" s="165" t="str">
        <v>Customer 1</v>
      </c>
      <c r="T78" s="147">
        <f>SUMIFS('IS GL Detail'!$M:$M,'IS GL Detail'!$J:$J,'Month-end Dashboard'!S78)</f>
        <v>47754.81</v>
      </c>
      <c r="AA78" s="169"/>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row>
    <row r="79" spans="1:53" x14ac:dyDescent="0.25">
      <c r="A79" s="63"/>
      <c r="B79" s="63"/>
      <c r="C79" s="63"/>
      <c r="D79" s="63"/>
      <c r="E79" s="63"/>
      <c r="F79" s="63"/>
      <c r="G79" s="63"/>
      <c r="H79" s="63"/>
      <c r="I79" s="63"/>
      <c r="J79" s="63"/>
      <c r="K79" s="63"/>
      <c r="L79" s="63"/>
      <c r="M79" s="63"/>
      <c r="N79" s="63"/>
      <c r="O79" s="63"/>
      <c r="P79" s="63"/>
      <c r="Q79" s="63"/>
      <c r="R79" s="168"/>
      <c r="S79" s="165" t="str">
        <v>Class A Direct Labor Cost Detail</v>
      </c>
      <c r="T79" s="147">
        <f>SUMIFS('IS GL Detail'!$M:$M,'IS GL Detail'!$J:$J,'Month-end Dashboard'!S79)</f>
        <v>30311.800000000003</v>
      </c>
      <c r="AA79" s="169"/>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row>
    <row r="80" spans="1:53" x14ac:dyDescent="0.25">
      <c r="A80" s="63"/>
      <c r="B80" s="63"/>
      <c r="C80" s="63"/>
      <c r="D80" s="63"/>
      <c r="E80" s="63"/>
      <c r="F80" s="63"/>
      <c r="G80" s="63"/>
      <c r="H80" s="63"/>
      <c r="I80" s="63"/>
      <c r="J80" s="63"/>
      <c r="K80" s="63"/>
      <c r="L80" s="63"/>
      <c r="M80" s="63"/>
      <c r="N80" s="63"/>
      <c r="O80" s="63"/>
      <c r="P80" s="63"/>
      <c r="Q80" s="63"/>
      <c r="R80" s="168"/>
      <c r="S80" s="165" t="str">
        <v>Customer 12 detail</v>
      </c>
      <c r="T80" s="147">
        <f>SUMIFS('IS GL Detail'!$M:$M,'IS GL Detail'!$J:$J,'Month-end Dashboard'!S80)</f>
        <v>19684.64</v>
      </c>
      <c r="AA80" s="169"/>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row>
    <row r="81" spans="1:53" x14ac:dyDescent="0.25">
      <c r="A81" s="63"/>
      <c r="B81" s="63"/>
      <c r="C81" s="63"/>
      <c r="D81" s="63"/>
      <c r="E81" s="63"/>
      <c r="F81" s="63"/>
      <c r="G81" s="63"/>
      <c r="H81" s="63"/>
      <c r="I81" s="63"/>
      <c r="J81" s="63"/>
      <c r="K81" s="63"/>
      <c r="L81" s="63"/>
      <c r="M81" s="63"/>
      <c r="N81" s="63"/>
      <c r="O81" s="63"/>
      <c r="P81" s="63"/>
      <c r="Q81" s="63"/>
      <c r="R81" s="168"/>
      <c r="S81" s="165" t="str">
        <v>Customer 13 detail</v>
      </c>
      <c r="T81" s="147">
        <f>SUMIFS('IS GL Detail'!$M:$M,'IS GL Detail'!$J:$J,'Month-end Dashboard'!S81)</f>
        <v>19233.75</v>
      </c>
      <c r="AA81" s="169"/>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row>
    <row r="82" spans="1:53" x14ac:dyDescent="0.25">
      <c r="A82" s="63"/>
      <c r="B82" s="63"/>
      <c r="C82" s="63"/>
      <c r="D82" s="63"/>
      <c r="E82" s="63"/>
      <c r="F82" s="63"/>
      <c r="G82" s="63"/>
      <c r="H82" s="63"/>
      <c r="I82" s="63"/>
      <c r="J82" s="63"/>
      <c r="K82" s="63"/>
      <c r="L82" s="63"/>
      <c r="M82" s="63"/>
      <c r="N82" s="63"/>
      <c r="O82" s="63"/>
      <c r="P82" s="63"/>
      <c r="Q82" s="63"/>
      <c r="R82" s="170"/>
      <c r="S82" s="171"/>
      <c r="T82" s="171"/>
      <c r="U82" s="171"/>
      <c r="V82" s="171"/>
      <c r="W82" s="171"/>
      <c r="X82" s="171"/>
      <c r="Y82" s="171"/>
      <c r="Z82" s="171"/>
      <c r="AA82" s="172"/>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row>
    <row r="83" spans="1:53" x14ac:dyDescent="0.25">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row>
    <row r="84" spans="1:53" x14ac:dyDescent="0.25">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row>
    <row r="85" spans="1:53" x14ac:dyDescent="0.25">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row>
    <row r="86" spans="1:53" x14ac:dyDescent="0.25">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row>
    <row r="87" spans="1:53" x14ac:dyDescent="0.25">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row>
    <row r="88" spans="1:53" x14ac:dyDescent="0.25">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row>
    <row r="89" spans="1:53" x14ac:dyDescent="0.25">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row>
    <row r="90" spans="1:53" x14ac:dyDescent="0.25">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row>
    <row r="91" spans="1:53" x14ac:dyDescent="0.25">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row>
    <row r="92" spans="1:53" x14ac:dyDescent="0.25">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row>
    <row r="93" spans="1:53" x14ac:dyDescent="0.25">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c r="AZ93" s="63"/>
      <c r="BA93" s="63"/>
    </row>
    <row r="94" spans="1:53" x14ac:dyDescent="0.25">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row>
    <row r="95" spans="1:53" x14ac:dyDescent="0.25">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row>
    <row r="96" spans="1:53" x14ac:dyDescent="0.25">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row>
    <row r="97" spans="1:53" x14ac:dyDescent="0.25">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row>
    <row r="98" spans="1:53" x14ac:dyDescent="0.25">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row>
    <row r="99" spans="1:53" x14ac:dyDescent="0.25">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row>
    <row r="100" spans="1:53" x14ac:dyDescent="0.25">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row>
    <row r="101" spans="1:53" x14ac:dyDescent="0.25">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row>
    <row r="102" spans="1:53" x14ac:dyDescent="0.25">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row>
    <row r="103" spans="1:53" x14ac:dyDescent="0.25">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row>
    <row r="104" spans="1:53" x14ac:dyDescent="0.25">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row>
    <row r="105" spans="1:53" x14ac:dyDescent="0.2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row>
    <row r="106" spans="1:53" x14ac:dyDescent="0.25">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row>
    <row r="107" spans="1:53" x14ac:dyDescent="0.25">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row>
    <row r="108" spans="1:53" x14ac:dyDescent="0.25">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row>
    <row r="109" spans="1:53" x14ac:dyDescent="0.25">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row>
    <row r="110" spans="1:53" x14ac:dyDescent="0.25">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c r="AQ110" s="63"/>
      <c r="AR110" s="63"/>
      <c r="AS110" s="63"/>
      <c r="AT110" s="63"/>
      <c r="AU110" s="63"/>
      <c r="AV110" s="63"/>
      <c r="AW110" s="63"/>
      <c r="AX110" s="63"/>
      <c r="AY110" s="63"/>
      <c r="AZ110" s="63"/>
      <c r="BA110" s="63"/>
    </row>
    <row r="111" spans="1:53" x14ac:dyDescent="0.25">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row>
    <row r="112" spans="1:53" x14ac:dyDescent="0.25">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row>
    <row r="113" spans="1:53" x14ac:dyDescent="0.25">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row>
    <row r="114" spans="1:53" x14ac:dyDescent="0.25">
      <c r="R114" s="63"/>
      <c r="S114" s="63"/>
      <c r="T114" s="63"/>
      <c r="U114" s="63"/>
      <c r="V114" s="63"/>
      <c r="W114" s="63"/>
      <c r="X114" s="63"/>
      <c r="Y114" s="63"/>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c r="AY114" s="63"/>
      <c r="AZ114" s="63"/>
      <c r="BA114" s="63"/>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4D18B-BB62-4CFF-B53C-E800A3E61C94}">
  <dimension ref="A1:AD144"/>
  <sheetViews>
    <sheetView showGridLines="0" zoomScaleNormal="100" workbookViewId="0">
      <pane ySplit="3" topLeftCell="A4" activePane="bottomLeft" state="frozen"/>
      <selection activeCell="M106" sqref="M106"/>
      <selection pane="bottomLeft" activeCell="J28" sqref="J28"/>
    </sheetView>
  </sheetViews>
  <sheetFormatPr defaultRowHeight="13.2" x14ac:dyDescent="0.25"/>
  <cols>
    <col min="1" max="1" width="1.77734375" style="2" customWidth="1"/>
    <col min="2" max="2" width="2.21875" style="2" customWidth="1"/>
    <col min="3" max="3" width="24.21875" style="2" bestFit="1" customWidth="1"/>
    <col min="4" max="4" width="13.77734375" style="2" customWidth="1"/>
    <col min="5" max="5" width="13.109375" style="2" customWidth="1"/>
    <col min="6" max="6" width="31.44140625" style="2" customWidth="1"/>
    <col min="7" max="7" width="14.44140625" style="2" customWidth="1"/>
    <col min="8" max="8" width="15.109375" style="2" customWidth="1"/>
    <col min="9" max="9" width="1.109375" style="2" customWidth="1"/>
    <col min="10" max="15" width="16.109375" style="2" customWidth="1"/>
    <col min="16" max="16" width="1.109375" style="2" customWidth="1"/>
    <col min="17" max="17" width="19.44140625" style="2" bestFit="1" customWidth="1"/>
    <col min="18" max="19" width="14.44140625" style="2" bestFit="1" customWidth="1"/>
    <col min="20" max="23" width="16.109375" style="2" customWidth="1"/>
    <col min="24" max="24" width="1.109375" style="2" customWidth="1"/>
    <col min="25" max="16384" width="8.88671875" style="2"/>
  </cols>
  <sheetData>
    <row r="1" spans="1:30" x14ac:dyDescent="0.25">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row>
    <row r="2" spans="1:30" ht="20.100000000000001" customHeight="1" x14ac:dyDescent="0.25">
      <c r="A2" s="63"/>
      <c r="B2" s="144" t="s">
        <v>390</v>
      </c>
      <c r="C2" s="64"/>
      <c r="D2" s="202" t="s">
        <v>246</v>
      </c>
      <c r="E2" s="202" t="s">
        <v>249</v>
      </c>
      <c r="F2" s="64"/>
      <c r="G2" s="64"/>
      <c r="H2" s="64"/>
      <c r="I2" s="65"/>
      <c r="J2" s="63"/>
      <c r="K2" s="63"/>
      <c r="L2" s="63"/>
      <c r="M2" s="63"/>
      <c r="N2" s="63"/>
      <c r="O2" s="63"/>
      <c r="P2" s="173" t="s">
        <v>489</v>
      </c>
      <c r="Q2" s="174"/>
      <c r="R2" s="166"/>
      <c r="S2" s="166"/>
      <c r="T2" s="166"/>
      <c r="U2" s="166"/>
      <c r="V2" s="166"/>
      <c r="W2" s="166"/>
      <c r="X2" s="167"/>
      <c r="Y2" s="63"/>
      <c r="Z2" s="63"/>
      <c r="AA2" s="63"/>
      <c r="AB2" s="63"/>
      <c r="AC2" s="63"/>
      <c r="AD2" s="63"/>
    </row>
    <row r="3" spans="1:30" ht="16.2" customHeight="1" x14ac:dyDescent="0.25">
      <c r="A3" s="63"/>
      <c r="B3" s="145" t="str" cm="1">
        <f t="array" aca="1" ref="B3" ca="1">MID(CELL("filename",A1),FIND("]",CELL("filename",A1))+1,255)</f>
        <v>Dashboard by Class</v>
      </c>
      <c r="C3" s="66"/>
      <c r="D3" s="200">
        <f>'Date Mapping'!S1</f>
        <v>46112</v>
      </c>
      <c r="E3" s="84" t="s">
        <v>370</v>
      </c>
      <c r="F3" s="66"/>
      <c r="G3" s="66"/>
      <c r="H3" s="66"/>
      <c r="I3" s="67"/>
      <c r="J3" s="63"/>
      <c r="K3" s="63"/>
      <c r="L3" s="63"/>
      <c r="M3" s="63"/>
      <c r="N3" s="63"/>
      <c r="O3" s="63"/>
      <c r="P3" s="175" t="s">
        <v>490</v>
      </c>
      <c r="Q3" s="171"/>
      <c r="R3" s="171"/>
      <c r="S3" s="171"/>
      <c r="T3" s="171"/>
      <c r="U3" s="171"/>
      <c r="V3" s="171"/>
      <c r="W3" s="171"/>
      <c r="X3" s="172"/>
      <c r="Y3" s="63"/>
      <c r="Z3" s="63"/>
      <c r="AA3" s="63"/>
      <c r="AB3" s="63"/>
      <c r="AC3" s="63"/>
      <c r="AD3" s="63"/>
    </row>
    <row r="4" spans="1:30" x14ac:dyDescent="0.25">
      <c r="A4" s="63"/>
      <c r="B4" s="68"/>
      <c r="C4" s="89"/>
      <c r="D4" s="152"/>
      <c r="E4" s="152"/>
      <c r="F4" s="152"/>
      <c r="G4" s="152"/>
      <c r="H4" s="152"/>
      <c r="I4" s="74"/>
      <c r="J4" s="63"/>
      <c r="K4" s="63"/>
      <c r="L4" s="63"/>
      <c r="M4" s="63"/>
      <c r="N4" s="63"/>
      <c r="O4" s="63"/>
      <c r="P4" s="168"/>
      <c r="X4" s="169"/>
      <c r="Y4" s="63"/>
      <c r="Z4" s="63"/>
      <c r="AA4" s="63"/>
      <c r="AB4" s="63"/>
      <c r="AC4" s="63"/>
      <c r="AD4" s="63"/>
    </row>
    <row r="5" spans="1:30" x14ac:dyDescent="0.25">
      <c r="A5" s="63"/>
      <c r="B5" s="68"/>
      <c r="C5" s="93"/>
      <c r="D5" s="148"/>
      <c r="E5" s="148"/>
      <c r="F5" s="148"/>
      <c r="G5" s="148"/>
      <c r="H5" s="148"/>
      <c r="I5" s="74"/>
      <c r="J5" s="63"/>
      <c r="K5" s="63"/>
      <c r="L5" s="63"/>
      <c r="M5" s="63"/>
      <c r="N5" s="63"/>
      <c r="O5" s="63"/>
      <c r="P5" s="168"/>
      <c r="Q5" s="160" t="s">
        <v>392</v>
      </c>
      <c r="R5" s="161"/>
      <c r="S5" s="161"/>
      <c r="T5" s="161"/>
      <c r="U5" s="161"/>
      <c r="V5" s="160"/>
      <c r="W5" s="147"/>
      <c r="X5" s="169"/>
      <c r="Y5" s="63"/>
      <c r="Z5" s="63"/>
      <c r="AA5" s="63"/>
      <c r="AB5" s="63"/>
      <c r="AC5" s="63"/>
      <c r="AD5" s="63"/>
    </row>
    <row r="6" spans="1:30" x14ac:dyDescent="0.25">
      <c r="A6" s="63"/>
      <c r="B6" s="68"/>
      <c r="C6" s="89"/>
      <c r="D6" s="149"/>
      <c r="E6" s="149"/>
      <c r="F6" s="149"/>
      <c r="G6" s="149"/>
      <c r="H6" s="149"/>
      <c r="I6" s="74"/>
      <c r="J6" s="63"/>
      <c r="K6" s="63"/>
      <c r="L6" s="63"/>
      <c r="M6" s="63"/>
      <c r="N6" s="63"/>
      <c r="O6" s="63"/>
      <c r="P6" s="168"/>
      <c r="Q6" s="2" t="s">
        <v>246</v>
      </c>
      <c r="R6" s="2" t="s">
        <v>216</v>
      </c>
      <c r="S6" s="2" t="s">
        <v>211</v>
      </c>
      <c r="T6" s="2" t="s">
        <v>208</v>
      </c>
      <c r="V6" s="163"/>
      <c r="W6" s="147"/>
      <c r="X6" s="169"/>
      <c r="Y6" s="63"/>
      <c r="Z6" s="63"/>
      <c r="AA6" s="63"/>
      <c r="AB6" s="63"/>
      <c r="AC6" s="63"/>
      <c r="AD6" s="63"/>
    </row>
    <row r="7" spans="1:30" x14ac:dyDescent="0.25">
      <c r="A7" s="63"/>
      <c r="B7" s="68"/>
      <c r="C7" s="80"/>
      <c r="D7" s="147"/>
      <c r="E7" s="147"/>
      <c r="F7" s="147"/>
      <c r="G7" s="147"/>
      <c r="H7" s="147"/>
      <c r="I7" s="74"/>
      <c r="J7" s="63"/>
      <c r="K7" s="63"/>
      <c r="L7" s="63"/>
      <c r="M7" s="63"/>
      <c r="N7" s="63"/>
      <c r="O7" s="63"/>
      <c r="P7" s="168"/>
      <c r="Q7" s="162">
        <f>EOMONTH(D3,-11)</f>
        <v>45777</v>
      </c>
      <c r="R7" s="147">
        <f>IF($E$3="Consolidated",SUMIFS('IS GL Summary'!$F:$F,'IS GL Summary'!$B:$B,$Q7,'IS GL Summary'!$H:$H,R$6),SUMIFS('IS GL Summary'!$F:$F,'IS GL Summary'!$B:$B,$Q7,'IS GL Summary'!$H:$H,R$6,'IS GL Summary'!$E:$E,'Dashboard by Class'!$E$3))</f>
        <v>51331.30999999999</v>
      </c>
      <c r="S7" s="147">
        <f>IF($E$3="Consolidated",SUMIFS('IS GL Summary'!$F:$F,'IS GL Summary'!$B:$B,$Q7,'IS GL Summary'!$H:$H,S$6),SUMIFS('IS GL Summary'!$F:$F,'IS GL Summary'!$B:$B,$Q7,'IS GL Summary'!$H:$H,S$6,'IS GL Summary'!$E:$E,'Dashboard by Class'!$E$3))</f>
        <v>120981.31000000001</v>
      </c>
      <c r="T7" s="147">
        <f>IF($E$3="Consolidated",SUMIFS('IS GL Summary'!$F:$F,'IS GL Summary'!$B:$B,$Q7,'IS GL Summary'!$H:$H,T$6),SUMIFS('IS GL Summary'!$F:$F,'IS GL Summary'!$B:$B,$Q7,'IS GL Summary'!$H:$H,T$6,'IS GL Summary'!$E:$E,'Dashboard by Class'!$E$3))</f>
        <v>177061.40000000002</v>
      </c>
      <c r="V7" s="163"/>
      <c r="W7" s="147"/>
      <c r="X7" s="169"/>
      <c r="Y7" s="63"/>
      <c r="Z7" s="63"/>
      <c r="AA7" s="63"/>
      <c r="AB7" s="63"/>
      <c r="AC7" s="63"/>
      <c r="AD7" s="63"/>
    </row>
    <row r="8" spans="1:30" x14ac:dyDescent="0.25">
      <c r="A8" s="63"/>
      <c r="B8" s="68"/>
      <c r="C8" s="80"/>
      <c r="D8" s="147"/>
      <c r="E8" s="147"/>
      <c r="F8" s="147"/>
      <c r="G8" s="147"/>
      <c r="H8" s="147"/>
      <c r="I8" s="74"/>
      <c r="J8" s="63"/>
      <c r="K8" s="63"/>
      <c r="L8" s="63"/>
      <c r="M8" s="63"/>
      <c r="N8" s="63"/>
      <c r="O8" s="63"/>
      <c r="P8" s="168"/>
      <c r="Q8" s="162">
        <f>EOMONTH(Q7,1)</f>
        <v>45808</v>
      </c>
      <c r="R8" s="147">
        <f>IF($E$3="Consolidated",SUMIFS('IS GL Summary'!$F:$F,'IS GL Summary'!$B:$B,$Q8,'IS GL Summary'!$H:$H,R$6),SUMIFS('IS GL Summary'!$F:$F,'IS GL Summary'!$B:$B,$Q8,'IS GL Summary'!$H:$H,R$6,'IS GL Summary'!$E:$E,'Dashboard by Class'!$E$3))</f>
        <v>70543.989999999991</v>
      </c>
      <c r="S8" s="147">
        <f>IF($E$3="Consolidated",SUMIFS('IS GL Summary'!$F:$F,'IS GL Summary'!$B:$B,$Q8,'IS GL Summary'!$H:$H,S$6),SUMIFS('IS GL Summary'!$F:$F,'IS GL Summary'!$B:$B,$Q8,'IS GL Summary'!$H:$H,S$6,'IS GL Summary'!$E:$E,'Dashboard by Class'!$E$3))</f>
        <v>87744.53</v>
      </c>
      <c r="T8" s="147">
        <f>IF($E$3="Consolidated",SUMIFS('IS GL Summary'!$F:$F,'IS GL Summary'!$B:$B,$Q8,'IS GL Summary'!$H:$H,T$6),SUMIFS('IS GL Summary'!$F:$F,'IS GL Summary'!$B:$B,$Q8,'IS GL Summary'!$H:$H,T$6,'IS GL Summary'!$E:$E,'Dashboard by Class'!$E$3))</f>
        <v>183743.63</v>
      </c>
      <c r="V8" s="163"/>
      <c r="W8" s="147"/>
      <c r="X8" s="169"/>
      <c r="Y8" s="63"/>
      <c r="Z8" s="63"/>
      <c r="AA8" s="63"/>
      <c r="AB8" s="63"/>
      <c r="AC8" s="63"/>
      <c r="AD8" s="63"/>
    </row>
    <row r="9" spans="1:30" x14ac:dyDescent="0.25">
      <c r="A9" s="63"/>
      <c r="B9" s="68"/>
      <c r="C9" s="93"/>
      <c r="D9" s="148"/>
      <c r="E9" s="148"/>
      <c r="F9" s="148"/>
      <c r="G9" s="148"/>
      <c r="H9" s="148"/>
      <c r="I9" s="74"/>
      <c r="J9" s="63"/>
      <c r="K9" s="63"/>
      <c r="L9" s="63"/>
      <c r="M9" s="63"/>
      <c r="N9" s="63"/>
      <c r="O9" s="63"/>
      <c r="P9" s="168"/>
      <c r="Q9" s="162">
        <f t="shared" ref="Q9:Q18" si="0">EOMONTH(Q8,1)</f>
        <v>45838</v>
      </c>
      <c r="R9" s="147">
        <f>IF($E$3="Consolidated",SUMIFS('IS GL Summary'!$F:$F,'IS GL Summary'!$B:$B,$Q9,'IS GL Summary'!$H:$H,R$6),SUMIFS('IS GL Summary'!$F:$F,'IS GL Summary'!$B:$B,$Q9,'IS GL Summary'!$H:$H,R$6,'IS GL Summary'!$E:$E,'Dashboard by Class'!$E$3))</f>
        <v>66320.75999999998</v>
      </c>
      <c r="S9" s="147">
        <f>IF($E$3="Consolidated",SUMIFS('IS GL Summary'!$F:$F,'IS GL Summary'!$B:$B,$Q9,'IS GL Summary'!$H:$H,S$6),SUMIFS('IS GL Summary'!$F:$F,'IS GL Summary'!$B:$B,$Q9,'IS GL Summary'!$H:$H,S$6,'IS GL Summary'!$E:$E,'Dashboard by Class'!$E$3))</f>
        <v>83448.91</v>
      </c>
      <c r="T9" s="147">
        <f>IF($E$3="Consolidated",SUMIFS('IS GL Summary'!$F:$F,'IS GL Summary'!$B:$B,$Q9,'IS GL Summary'!$H:$H,T$6),SUMIFS('IS GL Summary'!$F:$F,'IS GL Summary'!$B:$B,$Q9,'IS GL Summary'!$H:$H,T$6,'IS GL Summary'!$E:$E,'Dashboard by Class'!$E$3))</f>
        <v>186888.96000000002</v>
      </c>
      <c r="V9" s="163"/>
      <c r="W9" s="147"/>
      <c r="X9" s="169"/>
      <c r="Y9" s="63"/>
      <c r="Z9" s="63"/>
      <c r="AA9" s="63"/>
      <c r="AB9" s="63"/>
      <c r="AC9" s="63"/>
      <c r="AD9" s="63"/>
    </row>
    <row r="10" spans="1:30" x14ac:dyDescent="0.25">
      <c r="A10" s="63"/>
      <c r="B10" s="68"/>
      <c r="C10" s="89"/>
      <c r="D10" s="152"/>
      <c r="E10" s="152"/>
      <c r="F10" s="152"/>
      <c r="G10" s="152"/>
      <c r="H10" s="152"/>
      <c r="I10" s="74"/>
      <c r="J10" s="63"/>
      <c r="K10" s="63"/>
      <c r="L10" s="63"/>
      <c r="M10" s="63"/>
      <c r="N10" s="63"/>
      <c r="O10" s="63"/>
      <c r="P10" s="168"/>
      <c r="Q10" s="162">
        <f t="shared" si="0"/>
        <v>45869</v>
      </c>
      <c r="R10" s="147">
        <f>IF($E$3="Consolidated",SUMIFS('IS GL Summary'!$F:$F,'IS GL Summary'!$B:$B,$Q10,'IS GL Summary'!$H:$H,R$6),SUMIFS('IS GL Summary'!$F:$F,'IS GL Summary'!$B:$B,$Q10,'IS GL Summary'!$H:$H,R$6,'IS GL Summary'!$E:$E,'Dashboard by Class'!$E$3))</f>
        <v>70523.759999999995</v>
      </c>
      <c r="S10" s="147">
        <f>IF($E$3="Consolidated",SUMIFS('IS GL Summary'!$F:$F,'IS GL Summary'!$B:$B,$Q10,'IS GL Summary'!$H:$H,S$6),SUMIFS('IS GL Summary'!$F:$F,'IS GL Summary'!$B:$B,$Q10,'IS GL Summary'!$H:$H,S$6,'IS GL Summary'!$E:$E,'Dashboard by Class'!$E$3))</f>
        <v>142455.24</v>
      </c>
      <c r="T10" s="147">
        <f>IF($E$3="Consolidated",SUMIFS('IS GL Summary'!$F:$F,'IS GL Summary'!$B:$B,$Q10,'IS GL Summary'!$H:$H,T$6),SUMIFS('IS GL Summary'!$F:$F,'IS GL Summary'!$B:$B,$Q10,'IS GL Summary'!$H:$H,T$6,'IS GL Summary'!$E:$E,'Dashboard by Class'!$E$3))</f>
        <v>94116.22</v>
      </c>
      <c r="V10" s="163"/>
      <c r="W10" s="147"/>
      <c r="X10" s="169"/>
      <c r="Y10" s="63"/>
      <c r="Z10" s="63"/>
      <c r="AA10" s="63"/>
      <c r="AB10" s="63"/>
      <c r="AC10" s="63"/>
      <c r="AD10" s="63"/>
    </row>
    <row r="11" spans="1:30" x14ac:dyDescent="0.25">
      <c r="A11" s="63"/>
      <c r="B11" s="68"/>
      <c r="C11" s="104"/>
      <c r="D11" s="106"/>
      <c r="E11" s="106"/>
      <c r="F11" s="106"/>
      <c r="G11" s="106"/>
      <c r="H11" s="106"/>
      <c r="I11" s="74"/>
      <c r="J11" s="63"/>
      <c r="K11" s="63"/>
      <c r="L11" s="63"/>
      <c r="M11" s="63"/>
      <c r="N11" s="63"/>
      <c r="O11" s="63"/>
      <c r="P11" s="168"/>
      <c r="Q11" s="162">
        <f t="shared" si="0"/>
        <v>45900</v>
      </c>
      <c r="R11" s="147">
        <f>IF($E$3="Consolidated",SUMIFS('IS GL Summary'!$F:$F,'IS GL Summary'!$B:$B,$Q11,'IS GL Summary'!$H:$H,R$6),SUMIFS('IS GL Summary'!$F:$F,'IS GL Summary'!$B:$B,$Q11,'IS GL Summary'!$H:$H,R$6,'IS GL Summary'!$E:$E,'Dashboard by Class'!$E$3))</f>
        <v>76565.309999999983</v>
      </c>
      <c r="S11" s="147">
        <f>IF($E$3="Consolidated",SUMIFS('IS GL Summary'!$F:$F,'IS GL Summary'!$B:$B,$Q11,'IS GL Summary'!$H:$H,S$6),SUMIFS('IS GL Summary'!$F:$F,'IS GL Summary'!$B:$B,$Q11,'IS GL Summary'!$H:$H,S$6,'IS GL Summary'!$E:$E,'Dashboard by Class'!$E$3))</f>
        <v>78718.429999999978</v>
      </c>
      <c r="T11" s="147">
        <f>IF($E$3="Consolidated",SUMIFS('IS GL Summary'!$F:$F,'IS GL Summary'!$B:$B,$Q11,'IS GL Summary'!$H:$H,T$6),SUMIFS('IS GL Summary'!$F:$F,'IS GL Summary'!$B:$B,$Q11,'IS GL Summary'!$H:$H,T$6,'IS GL Summary'!$E:$E,'Dashboard by Class'!$E$3))</f>
        <v>166580.80000000002</v>
      </c>
      <c r="V11" s="163"/>
      <c r="W11" s="147"/>
      <c r="X11" s="169"/>
      <c r="Y11" s="63"/>
      <c r="Z11" s="63"/>
      <c r="AA11" s="63"/>
      <c r="AB11" s="63"/>
      <c r="AC11" s="63"/>
      <c r="AD11" s="63"/>
    </row>
    <row r="12" spans="1:30" x14ac:dyDescent="0.25">
      <c r="A12" s="63"/>
      <c r="B12" s="68"/>
      <c r="C12" s="88"/>
      <c r="D12" s="88"/>
      <c r="E12" s="88"/>
      <c r="F12" s="88"/>
      <c r="G12" s="88"/>
      <c r="H12" s="88"/>
      <c r="I12" s="74"/>
      <c r="J12" s="63"/>
      <c r="K12" s="63"/>
      <c r="L12" s="63"/>
      <c r="M12" s="63"/>
      <c r="N12" s="63"/>
      <c r="O12" s="63"/>
      <c r="P12" s="168"/>
      <c r="Q12" s="162">
        <f t="shared" si="0"/>
        <v>45930</v>
      </c>
      <c r="R12" s="147">
        <f>IF($E$3="Consolidated",SUMIFS('IS GL Summary'!$F:$F,'IS GL Summary'!$B:$B,$Q12,'IS GL Summary'!$H:$H,R$6),SUMIFS('IS GL Summary'!$F:$F,'IS GL Summary'!$B:$B,$Q12,'IS GL Summary'!$H:$H,R$6,'IS GL Summary'!$E:$E,'Dashboard by Class'!$E$3))</f>
        <v>54961.450000000004</v>
      </c>
      <c r="S12" s="147">
        <f>IF($E$3="Consolidated",SUMIFS('IS GL Summary'!$F:$F,'IS GL Summary'!$B:$B,$Q12,'IS GL Summary'!$H:$H,S$6),SUMIFS('IS GL Summary'!$F:$F,'IS GL Summary'!$B:$B,$Q12,'IS GL Summary'!$H:$H,S$6,'IS GL Summary'!$E:$E,'Dashboard by Class'!$E$3))</f>
        <v>71490.64</v>
      </c>
      <c r="T12" s="147">
        <f>IF($E$3="Consolidated",SUMIFS('IS GL Summary'!$F:$F,'IS GL Summary'!$B:$B,$Q12,'IS GL Summary'!$H:$H,T$6),SUMIFS('IS GL Summary'!$F:$F,'IS GL Summary'!$B:$B,$Q12,'IS GL Summary'!$H:$H,T$6,'IS GL Summary'!$E:$E,'Dashboard by Class'!$E$3))</f>
        <v>195588.2</v>
      </c>
      <c r="V12" s="163"/>
      <c r="W12" s="147"/>
      <c r="X12" s="169"/>
      <c r="Y12" s="63"/>
      <c r="Z12" s="63"/>
      <c r="AA12" s="63"/>
      <c r="AB12" s="63"/>
      <c r="AC12" s="63"/>
      <c r="AD12" s="63"/>
    </row>
    <row r="13" spans="1:30" x14ac:dyDescent="0.25">
      <c r="A13" s="63"/>
      <c r="B13" s="68"/>
      <c r="C13" s="89"/>
      <c r="D13" s="150"/>
      <c r="E13" s="150"/>
      <c r="F13" s="150"/>
      <c r="G13" s="150"/>
      <c r="H13" s="150"/>
      <c r="I13" s="74"/>
      <c r="J13" s="63"/>
      <c r="K13" s="63"/>
      <c r="L13" s="63"/>
      <c r="M13" s="63"/>
      <c r="N13" s="63"/>
      <c r="O13" s="63"/>
      <c r="P13" s="168"/>
      <c r="Q13" s="162">
        <f t="shared" si="0"/>
        <v>45961</v>
      </c>
      <c r="R13" s="147">
        <f>IF($E$3="Consolidated",SUMIFS('IS GL Summary'!$F:$F,'IS GL Summary'!$B:$B,$Q13,'IS GL Summary'!$H:$H,R$6),SUMIFS('IS GL Summary'!$F:$F,'IS GL Summary'!$B:$B,$Q13,'IS GL Summary'!$H:$H,R$6,'IS GL Summary'!$E:$E,'Dashboard by Class'!$E$3))</f>
        <v>66014.559999999998</v>
      </c>
      <c r="S13" s="147">
        <f>IF($E$3="Consolidated",SUMIFS('IS GL Summary'!$F:$F,'IS GL Summary'!$B:$B,$Q13,'IS GL Summary'!$H:$H,S$6),SUMIFS('IS GL Summary'!$F:$F,'IS GL Summary'!$B:$B,$Q13,'IS GL Summary'!$H:$H,S$6,'IS GL Summary'!$E:$E,'Dashboard by Class'!$E$3))</f>
        <v>101988.60999999999</v>
      </c>
      <c r="T13" s="147">
        <f>IF($E$3="Consolidated",SUMIFS('IS GL Summary'!$F:$F,'IS GL Summary'!$B:$B,$Q13,'IS GL Summary'!$H:$H,T$6),SUMIFS('IS GL Summary'!$F:$F,'IS GL Summary'!$B:$B,$Q13,'IS GL Summary'!$H:$H,T$6,'IS GL Summary'!$E:$E,'Dashboard by Class'!$E$3))</f>
        <v>166001.76999999999</v>
      </c>
      <c r="W13" s="147"/>
      <c r="X13" s="169"/>
      <c r="Y13" s="63"/>
      <c r="Z13" s="63"/>
      <c r="AA13" s="63"/>
      <c r="AB13" s="63"/>
      <c r="AC13" s="63"/>
      <c r="AD13" s="63"/>
    </row>
    <row r="14" spans="1:30" x14ac:dyDescent="0.25">
      <c r="A14" s="63"/>
      <c r="B14" s="68"/>
      <c r="C14" s="80"/>
      <c r="D14" s="147"/>
      <c r="E14" s="147"/>
      <c r="F14" s="147"/>
      <c r="G14" s="147"/>
      <c r="H14" s="147"/>
      <c r="I14" s="74"/>
      <c r="J14" s="63"/>
      <c r="K14" s="63"/>
      <c r="L14" s="63"/>
      <c r="M14" s="63"/>
      <c r="N14" s="63"/>
      <c r="O14" s="63"/>
      <c r="P14" s="168"/>
      <c r="Q14" s="162">
        <f t="shared" si="0"/>
        <v>45991</v>
      </c>
      <c r="R14" s="147">
        <f>IF($E$3="Consolidated",SUMIFS('IS GL Summary'!$F:$F,'IS GL Summary'!$B:$B,$Q14,'IS GL Summary'!$H:$H,R$6),SUMIFS('IS GL Summary'!$F:$F,'IS GL Summary'!$B:$B,$Q14,'IS GL Summary'!$H:$H,R$6,'IS GL Summary'!$E:$E,'Dashboard by Class'!$E$3))</f>
        <v>85499.11000000003</v>
      </c>
      <c r="S14" s="147">
        <f>IF($E$3="Consolidated",SUMIFS('IS GL Summary'!$F:$F,'IS GL Summary'!$B:$B,$Q14,'IS GL Summary'!$H:$H,S$6),SUMIFS('IS GL Summary'!$F:$F,'IS GL Summary'!$B:$B,$Q14,'IS GL Summary'!$H:$H,S$6,'IS GL Summary'!$E:$E,'Dashboard by Class'!$E$3))</f>
        <v>70728.14</v>
      </c>
      <c r="T14" s="147">
        <f>IF($E$3="Consolidated",SUMIFS('IS GL Summary'!$F:$F,'IS GL Summary'!$B:$B,$Q14,'IS GL Summary'!$H:$H,T$6),SUMIFS('IS GL Summary'!$F:$F,'IS GL Summary'!$B:$B,$Q14,'IS GL Summary'!$H:$H,T$6,'IS GL Summary'!$E:$E,'Dashboard by Class'!$E$3))</f>
        <v>244826.34</v>
      </c>
      <c r="W14" s="147"/>
      <c r="X14" s="169"/>
      <c r="Y14" s="63"/>
      <c r="Z14" s="63"/>
      <c r="AA14" s="63"/>
      <c r="AB14" s="63"/>
      <c r="AC14" s="63"/>
      <c r="AD14" s="63"/>
    </row>
    <row r="15" spans="1:30" x14ac:dyDescent="0.25">
      <c r="A15" s="63"/>
      <c r="B15" s="68"/>
      <c r="C15" s="80"/>
      <c r="D15" s="147"/>
      <c r="E15" s="147"/>
      <c r="F15" s="147"/>
      <c r="G15" s="147"/>
      <c r="H15" s="147"/>
      <c r="I15" s="74"/>
      <c r="J15" s="63"/>
      <c r="K15" s="63"/>
      <c r="L15" s="63"/>
      <c r="M15" s="63"/>
      <c r="N15" s="63"/>
      <c r="O15" s="63"/>
      <c r="P15" s="168"/>
      <c r="Q15" s="162">
        <f t="shared" si="0"/>
        <v>46022</v>
      </c>
      <c r="R15" s="147">
        <f>IF($E$3="Consolidated",SUMIFS('IS GL Summary'!$F:$F,'IS GL Summary'!$B:$B,$Q15,'IS GL Summary'!$H:$H,R$6),SUMIFS('IS GL Summary'!$F:$F,'IS GL Summary'!$B:$B,$Q15,'IS GL Summary'!$H:$H,R$6,'IS GL Summary'!$E:$E,'Dashboard by Class'!$E$3))</f>
        <v>90566.64</v>
      </c>
      <c r="S15" s="147">
        <f>IF($E$3="Consolidated",SUMIFS('IS GL Summary'!$F:$F,'IS GL Summary'!$B:$B,$Q15,'IS GL Summary'!$H:$H,S$6),SUMIFS('IS GL Summary'!$F:$F,'IS GL Summary'!$B:$B,$Q15,'IS GL Summary'!$H:$H,S$6,'IS GL Summary'!$E:$E,'Dashboard by Class'!$E$3))</f>
        <v>72289.180000000008</v>
      </c>
      <c r="T15" s="147">
        <f>IF($E$3="Consolidated",SUMIFS('IS GL Summary'!$F:$F,'IS GL Summary'!$B:$B,$Q15,'IS GL Summary'!$H:$H,T$6),SUMIFS('IS GL Summary'!$F:$F,'IS GL Summary'!$B:$B,$Q15,'IS GL Summary'!$H:$H,T$6,'IS GL Summary'!$E:$E,'Dashboard by Class'!$E$3))</f>
        <v>138169.94999999998</v>
      </c>
      <c r="V15" s="163"/>
      <c r="W15" s="147"/>
      <c r="X15" s="169"/>
      <c r="Y15" s="63"/>
      <c r="Z15" s="63"/>
      <c r="AA15" s="63"/>
      <c r="AB15" s="63"/>
      <c r="AC15" s="63"/>
      <c r="AD15" s="63"/>
    </row>
    <row r="16" spans="1:30" x14ac:dyDescent="0.25">
      <c r="A16" s="63"/>
      <c r="B16" s="68"/>
      <c r="C16" s="80"/>
      <c r="D16" s="147"/>
      <c r="E16" s="147"/>
      <c r="F16" s="147"/>
      <c r="G16" s="147"/>
      <c r="H16" s="147"/>
      <c r="I16" s="74"/>
      <c r="J16" s="63"/>
      <c r="K16" s="63"/>
      <c r="L16" s="63"/>
      <c r="M16" s="63"/>
      <c r="N16" s="63"/>
      <c r="O16" s="63"/>
      <c r="P16" s="168"/>
      <c r="Q16" s="162">
        <f t="shared" si="0"/>
        <v>46053</v>
      </c>
      <c r="R16" s="147">
        <f>IF($E$3="Consolidated",SUMIFS('IS GL Summary'!$F:$F,'IS GL Summary'!$B:$B,$Q16,'IS GL Summary'!$H:$H,R$6),SUMIFS('IS GL Summary'!$F:$F,'IS GL Summary'!$B:$B,$Q16,'IS GL Summary'!$H:$H,R$6,'IS GL Summary'!$E:$E,'Dashboard by Class'!$E$3))</f>
        <v>92649.939999999988</v>
      </c>
      <c r="S16" s="147">
        <f>IF($E$3="Consolidated",SUMIFS('IS GL Summary'!$F:$F,'IS GL Summary'!$B:$B,$Q16,'IS GL Summary'!$H:$H,S$6),SUMIFS('IS GL Summary'!$F:$F,'IS GL Summary'!$B:$B,$Q16,'IS GL Summary'!$H:$H,S$6,'IS GL Summary'!$E:$E,'Dashboard by Class'!$E$3))</f>
        <v>64585.39</v>
      </c>
      <c r="T16" s="147">
        <f>IF($E$3="Consolidated",SUMIFS('IS GL Summary'!$F:$F,'IS GL Summary'!$B:$B,$Q16,'IS GL Summary'!$H:$H,T$6),SUMIFS('IS GL Summary'!$F:$F,'IS GL Summary'!$B:$B,$Q16,'IS GL Summary'!$H:$H,T$6,'IS GL Summary'!$E:$E,'Dashboard by Class'!$E$3))</f>
        <v>179268.83000000002</v>
      </c>
      <c r="X16" s="169"/>
      <c r="Y16" s="63"/>
      <c r="Z16" s="63"/>
      <c r="AA16" s="63"/>
      <c r="AB16" s="63"/>
      <c r="AC16" s="63"/>
      <c r="AD16" s="63"/>
    </row>
    <row r="17" spans="1:30" x14ac:dyDescent="0.25">
      <c r="A17" s="63"/>
      <c r="B17" s="68"/>
      <c r="C17" s="80"/>
      <c r="D17" s="147"/>
      <c r="E17" s="147"/>
      <c r="F17" s="147"/>
      <c r="G17" s="147"/>
      <c r="H17" s="147"/>
      <c r="I17" s="74"/>
      <c r="J17" s="63"/>
      <c r="K17" s="63"/>
      <c r="L17" s="63"/>
      <c r="M17" s="63"/>
      <c r="N17" s="63"/>
      <c r="O17" s="63"/>
      <c r="P17" s="168"/>
      <c r="Q17" s="162">
        <f t="shared" si="0"/>
        <v>46081</v>
      </c>
      <c r="R17" s="147">
        <f>IF($E$3="Consolidated",SUMIFS('IS GL Summary'!$F:$F,'IS GL Summary'!$B:$B,$Q17,'IS GL Summary'!$H:$H,R$6),SUMIFS('IS GL Summary'!$F:$F,'IS GL Summary'!$B:$B,$Q17,'IS GL Summary'!$H:$H,R$6,'IS GL Summary'!$E:$E,'Dashboard by Class'!$E$3))</f>
        <v>78456.070000000007</v>
      </c>
      <c r="S17" s="147">
        <f>IF($E$3="Consolidated",SUMIFS('IS GL Summary'!$F:$F,'IS GL Summary'!$B:$B,$Q17,'IS GL Summary'!$H:$H,S$6),SUMIFS('IS GL Summary'!$F:$F,'IS GL Summary'!$B:$B,$Q17,'IS GL Summary'!$H:$H,S$6,'IS GL Summary'!$E:$E,'Dashboard by Class'!$E$3))</f>
        <v>53446.609999999993</v>
      </c>
      <c r="T17" s="147">
        <f>IF($E$3="Consolidated",SUMIFS('IS GL Summary'!$F:$F,'IS GL Summary'!$B:$B,$Q17,'IS GL Summary'!$H:$H,T$6),SUMIFS('IS GL Summary'!$F:$F,'IS GL Summary'!$B:$B,$Q17,'IS GL Summary'!$H:$H,T$6,'IS GL Summary'!$E:$E,'Dashboard by Class'!$E$3))</f>
        <v>149131.45000000001</v>
      </c>
      <c r="X17" s="169"/>
      <c r="Y17" s="63"/>
      <c r="Z17" s="63"/>
      <c r="AA17" s="63"/>
      <c r="AB17" s="63"/>
      <c r="AC17" s="63"/>
      <c r="AD17" s="63"/>
    </row>
    <row r="18" spans="1:30" x14ac:dyDescent="0.25">
      <c r="A18" s="63"/>
      <c r="B18" s="68"/>
      <c r="C18" s="80"/>
      <c r="D18" s="147"/>
      <c r="E18" s="147"/>
      <c r="F18" s="147"/>
      <c r="G18" s="147"/>
      <c r="H18" s="147"/>
      <c r="I18" s="74"/>
      <c r="J18" s="63"/>
      <c r="K18" s="63"/>
      <c r="L18" s="63"/>
      <c r="M18" s="63"/>
      <c r="N18" s="63"/>
      <c r="O18" s="63"/>
      <c r="P18" s="168"/>
      <c r="Q18" s="162">
        <f t="shared" si="0"/>
        <v>46112</v>
      </c>
      <c r="R18" s="147">
        <f>IF($E$3="Consolidated",SUMIFS('IS GL Summary'!$F:$F,'IS GL Summary'!$B:$B,$Q18,'IS GL Summary'!$H:$H,R$6),SUMIFS('IS GL Summary'!$F:$F,'IS GL Summary'!$B:$B,$Q18,'IS GL Summary'!$H:$H,R$6,'IS GL Summary'!$E:$E,'Dashboard by Class'!$E$3))</f>
        <v>79237.239999999991</v>
      </c>
      <c r="S18" s="147">
        <f>IF($E$3="Consolidated",SUMIFS('IS GL Summary'!$F:$F,'IS GL Summary'!$B:$B,$Q18,'IS GL Summary'!$H:$H,S$6),SUMIFS('IS GL Summary'!$F:$F,'IS GL Summary'!$B:$B,$Q18,'IS GL Summary'!$H:$H,S$6,'IS GL Summary'!$E:$E,'Dashboard by Class'!$E$3))</f>
        <v>56734.670000000006</v>
      </c>
      <c r="T18" s="147">
        <f>IF($E$3="Consolidated",SUMIFS('IS GL Summary'!$F:$F,'IS GL Summary'!$B:$B,$Q18,'IS GL Summary'!$H:$H,T$6),SUMIFS('IS GL Summary'!$F:$F,'IS GL Summary'!$B:$B,$Q18,'IS GL Summary'!$H:$H,T$6,'IS GL Summary'!$E:$E,'Dashboard by Class'!$E$3))</f>
        <v>131483.14000000001</v>
      </c>
      <c r="X18" s="169"/>
      <c r="Y18" s="63"/>
      <c r="Z18" s="63"/>
      <c r="AA18" s="63"/>
      <c r="AB18" s="63"/>
      <c r="AC18" s="63"/>
      <c r="AD18" s="63"/>
    </row>
    <row r="19" spans="1:30" x14ac:dyDescent="0.25">
      <c r="A19" s="63"/>
      <c r="B19" s="68"/>
      <c r="C19" s="80"/>
      <c r="D19" s="147"/>
      <c r="E19" s="147"/>
      <c r="F19" s="147"/>
      <c r="G19" s="147"/>
      <c r="H19" s="147"/>
      <c r="I19" s="74"/>
      <c r="J19" s="63"/>
      <c r="K19" s="63"/>
      <c r="L19" s="63"/>
      <c r="M19" s="63"/>
      <c r="N19" s="63"/>
      <c r="O19" s="63"/>
      <c r="P19" s="168"/>
      <c r="Q19" s="163"/>
      <c r="R19" s="147"/>
      <c r="S19" s="147"/>
      <c r="X19" s="169"/>
      <c r="Y19" s="63"/>
      <c r="Z19" s="63"/>
      <c r="AA19" s="63"/>
      <c r="AB19" s="63"/>
      <c r="AC19" s="63"/>
      <c r="AD19" s="63"/>
    </row>
    <row r="20" spans="1:30" x14ac:dyDescent="0.25">
      <c r="A20" s="63"/>
      <c r="B20" s="68"/>
      <c r="C20" s="80"/>
      <c r="D20" s="147"/>
      <c r="E20" s="147"/>
      <c r="F20" s="147"/>
      <c r="G20" s="147"/>
      <c r="H20" s="147"/>
      <c r="I20" s="74"/>
      <c r="J20" s="63"/>
      <c r="K20" s="63"/>
      <c r="L20" s="63"/>
      <c r="M20" s="63"/>
      <c r="N20" s="63"/>
      <c r="O20" s="63"/>
      <c r="P20" s="168"/>
      <c r="Q20" s="163"/>
      <c r="R20" s="147"/>
      <c r="S20" s="147"/>
      <c r="X20" s="169"/>
      <c r="Y20" s="63"/>
      <c r="Z20" s="63"/>
      <c r="AA20" s="63"/>
      <c r="AB20" s="63"/>
      <c r="AC20" s="63"/>
      <c r="AD20" s="63"/>
    </row>
    <row r="21" spans="1:30" ht="13.8" thickBot="1" x14ac:dyDescent="0.3">
      <c r="A21" s="63"/>
      <c r="B21" s="68"/>
      <c r="C21" s="204"/>
      <c r="D21" s="205"/>
      <c r="E21" s="205"/>
      <c r="F21" s="205"/>
      <c r="G21" s="205"/>
      <c r="H21" s="205"/>
      <c r="I21" s="74"/>
      <c r="J21" s="63"/>
      <c r="K21" s="63"/>
      <c r="L21" s="63"/>
      <c r="M21" s="63"/>
      <c r="N21" s="63"/>
      <c r="O21" s="63"/>
      <c r="P21" s="168"/>
      <c r="X21" s="169"/>
      <c r="Y21" s="63"/>
      <c r="Z21" s="63"/>
      <c r="AA21" s="63"/>
      <c r="AB21" s="63"/>
      <c r="AC21" s="63"/>
      <c r="AD21" s="63"/>
    </row>
    <row r="22" spans="1:30" x14ac:dyDescent="0.25">
      <c r="A22" s="63"/>
      <c r="B22" s="68"/>
      <c r="C22" s="80"/>
      <c r="D22" s="147"/>
      <c r="E22" s="147"/>
      <c r="F22" s="147"/>
      <c r="G22" s="147"/>
      <c r="H22" s="147"/>
      <c r="I22" s="74"/>
      <c r="J22" s="63"/>
      <c r="K22" s="63"/>
      <c r="L22" s="63"/>
      <c r="M22" s="63"/>
      <c r="N22" s="63"/>
      <c r="O22" s="63"/>
      <c r="P22" s="168"/>
      <c r="X22" s="169"/>
      <c r="Y22" s="63"/>
      <c r="Z22" s="63"/>
      <c r="AA22" s="63"/>
      <c r="AB22" s="63"/>
      <c r="AC22" s="63"/>
      <c r="AD22" s="63"/>
    </row>
    <row r="23" spans="1:30" x14ac:dyDescent="0.25">
      <c r="A23" s="63"/>
      <c r="B23" s="206" t="s">
        <v>517</v>
      </c>
      <c r="C23" s="80"/>
      <c r="D23" s="147"/>
      <c r="E23" s="147"/>
      <c r="F23" s="147"/>
      <c r="G23" s="147"/>
      <c r="H23" s="147"/>
      <c r="I23" s="74"/>
      <c r="J23" s="63"/>
      <c r="K23" s="63"/>
      <c r="L23" s="63"/>
      <c r="M23" s="63"/>
      <c r="N23" s="63"/>
      <c r="O23" s="63"/>
      <c r="P23" s="168"/>
      <c r="X23" s="169"/>
      <c r="Y23" s="63"/>
      <c r="Z23" s="63"/>
      <c r="AA23" s="63"/>
      <c r="AB23" s="63"/>
      <c r="AC23" s="63"/>
      <c r="AD23" s="63"/>
    </row>
    <row r="24" spans="1:30" x14ac:dyDescent="0.25">
      <c r="A24" s="63"/>
      <c r="B24" s="68"/>
      <c r="C24" s="80"/>
      <c r="D24" s="147"/>
      <c r="E24" s="147"/>
      <c r="F24" s="147"/>
      <c r="G24" s="147"/>
      <c r="H24" s="147"/>
      <c r="I24" s="74"/>
      <c r="J24" s="63"/>
      <c r="K24" s="63"/>
      <c r="L24" s="63"/>
      <c r="M24" s="63"/>
      <c r="N24" s="63"/>
      <c r="O24" s="63"/>
      <c r="P24" s="168"/>
      <c r="X24" s="169"/>
      <c r="Y24" s="63"/>
      <c r="Z24" s="63"/>
      <c r="AA24" s="63"/>
      <c r="AB24" s="63"/>
      <c r="AC24" s="63"/>
      <c r="AD24" s="63"/>
    </row>
    <row r="25" spans="1:30" x14ac:dyDescent="0.25">
      <c r="A25" s="63"/>
      <c r="B25" s="68"/>
      <c r="C25" s="80"/>
      <c r="D25" s="147"/>
      <c r="E25" s="147"/>
      <c r="F25" s="147"/>
      <c r="G25" s="147"/>
      <c r="H25" s="147"/>
      <c r="I25" s="74"/>
      <c r="J25" s="63"/>
      <c r="K25" s="63"/>
      <c r="L25" s="63"/>
      <c r="M25" s="63"/>
      <c r="N25" s="63"/>
      <c r="O25" s="63"/>
      <c r="P25" s="168"/>
      <c r="X25" s="169"/>
      <c r="Y25" s="63"/>
      <c r="Z25" s="63"/>
      <c r="AA25" s="63"/>
      <c r="AB25" s="63"/>
      <c r="AC25" s="63"/>
      <c r="AD25" s="63"/>
    </row>
    <row r="26" spans="1:30" x14ac:dyDescent="0.25">
      <c r="A26" s="63"/>
      <c r="B26" s="68"/>
      <c r="C26" s="80"/>
      <c r="D26" s="147"/>
      <c r="E26" s="147"/>
      <c r="F26" s="147"/>
      <c r="G26" s="147"/>
      <c r="H26" s="147"/>
      <c r="I26" s="74"/>
      <c r="J26" s="63"/>
      <c r="K26" s="63"/>
      <c r="L26" s="63"/>
      <c r="M26" s="63"/>
      <c r="N26" s="63"/>
      <c r="O26" s="63"/>
      <c r="P26" s="168"/>
      <c r="X26" s="169"/>
      <c r="Y26" s="63"/>
      <c r="Z26" s="63"/>
      <c r="AA26" s="63"/>
      <c r="AB26" s="63"/>
      <c r="AC26" s="63"/>
      <c r="AD26" s="63"/>
    </row>
    <row r="27" spans="1:30" x14ac:dyDescent="0.25">
      <c r="A27" s="63"/>
      <c r="B27" s="68"/>
      <c r="F27" s="147"/>
      <c r="G27" s="147"/>
      <c r="H27" s="147"/>
      <c r="I27" s="74"/>
      <c r="J27" s="63"/>
      <c r="K27" s="63"/>
      <c r="L27" s="63"/>
      <c r="M27" s="63"/>
      <c r="N27" s="63"/>
      <c r="O27" s="63"/>
      <c r="P27" s="168"/>
      <c r="X27" s="169"/>
      <c r="Y27" s="63"/>
      <c r="Z27" s="63"/>
      <c r="AA27" s="63"/>
      <c r="AB27" s="63"/>
      <c r="AC27" s="63"/>
      <c r="AD27" s="63"/>
    </row>
    <row r="28" spans="1:30" x14ac:dyDescent="0.25">
      <c r="A28" s="63"/>
      <c r="B28" s="68"/>
      <c r="F28" s="147"/>
      <c r="G28" s="147"/>
      <c r="H28" s="147"/>
      <c r="I28" s="74"/>
      <c r="J28" s="63"/>
      <c r="K28" s="63"/>
      <c r="L28" s="63"/>
      <c r="M28" s="63"/>
      <c r="N28" s="63"/>
      <c r="O28" s="63"/>
      <c r="P28" s="168"/>
      <c r="X28" s="169"/>
      <c r="Y28" s="63"/>
      <c r="Z28" s="63"/>
      <c r="AA28" s="63"/>
      <c r="AB28" s="63"/>
      <c r="AC28" s="63"/>
      <c r="AD28" s="63"/>
    </row>
    <row r="29" spans="1:30" x14ac:dyDescent="0.25">
      <c r="A29" s="63"/>
      <c r="B29" s="68"/>
      <c r="F29" s="147"/>
      <c r="G29" s="147"/>
      <c r="H29" s="147"/>
      <c r="I29" s="74"/>
      <c r="J29" s="63"/>
      <c r="K29" s="63"/>
      <c r="L29" s="63"/>
      <c r="M29" s="63"/>
      <c r="N29" s="63"/>
      <c r="O29" s="63"/>
      <c r="P29" s="168"/>
      <c r="X29" s="169"/>
      <c r="Y29" s="63"/>
      <c r="Z29" s="63"/>
      <c r="AA29" s="63"/>
      <c r="AB29" s="63"/>
      <c r="AC29" s="63"/>
      <c r="AD29" s="63"/>
    </row>
    <row r="30" spans="1:30" x14ac:dyDescent="0.25">
      <c r="A30" s="63"/>
      <c r="B30" s="68"/>
      <c r="F30" s="147"/>
      <c r="G30" s="147"/>
      <c r="H30" s="147"/>
      <c r="I30" s="74"/>
      <c r="J30" s="63"/>
      <c r="K30" s="63"/>
      <c r="L30" s="63"/>
      <c r="M30" s="63"/>
      <c r="N30" s="63"/>
      <c r="O30" s="63"/>
      <c r="P30" s="168"/>
      <c r="X30" s="169"/>
      <c r="Y30" s="63"/>
      <c r="Z30" s="63"/>
      <c r="AA30" s="63"/>
      <c r="AB30" s="63"/>
      <c r="AC30" s="63"/>
      <c r="AD30" s="63"/>
    </row>
    <row r="31" spans="1:30" x14ac:dyDescent="0.25">
      <c r="A31" s="63"/>
      <c r="B31" s="68"/>
      <c r="F31" s="147"/>
      <c r="G31" s="147"/>
      <c r="H31" s="147"/>
      <c r="I31" s="74"/>
      <c r="J31" s="63"/>
      <c r="K31" s="63"/>
      <c r="L31" s="63"/>
      <c r="M31" s="63"/>
      <c r="N31" s="63"/>
      <c r="O31" s="63"/>
      <c r="P31" s="168"/>
      <c r="X31" s="169"/>
      <c r="Y31" s="63"/>
      <c r="Z31" s="63"/>
      <c r="AA31" s="63"/>
      <c r="AB31" s="63"/>
      <c r="AC31" s="63"/>
      <c r="AD31" s="63"/>
    </row>
    <row r="32" spans="1:30" x14ac:dyDescent="0.25">
      <c r="A32" s="63"/>
      <c r="B32" s="68"/>
      <c r="F32" s="147"/>
      <c r="G32" s="147"/>
      <c r="H32" s="147"/>
      <c r="I32" s="74"/>
      <c r="J32" s="63"/>
      <c r="K32" s="63"/>
      <c r="L32" s="63"/>
      <c r="M32" s="63"/>
      <c r="N32" s="63"/>
      <c r="O32" s="63"/>
      <c r="P32" s="168"/>
      <c r="X32" s="169"/>
      <c r="Y32" s="63"/>
      <c r="Z32" s="63"/>
      <c r="AA32" s="63"/>
      <c r="AB32" s="63"/>
      <c r="AC32" s="63"/>
      <c r="AD32" s="63"/>
    </row>
    <row r="33" spans="1:30" x14ac:dyDescent="0.25">
      <c r="A33" s="63"/>
      <c r="B33" s="68"/>
      <c r="F33" s="147"/>
      <c r="G33" s="147"/>
      <c r="H33" s="147"/>
      <c r="I33" s="74"/>
      <c r="J33" s="63"/>
      <c r="K33" s="63"/>
      <c r="L33" s="63"/>
      <c r="M33" s="63"/>
      <c r="N33" s="63"/>
      <c r="O33" s="63"/>
      <c r="P33" s="168"/>
      <c r="X33" s="169"/>
      <c r="Y33" s="63"/>
      <c r="Z33" s="63"/>
      <c r="AA33" s="63"/>
      <c r="AB33" s="63"/>
      <c r="AC33" s="63"/>
      <c r="AD33" s="63"/>
    </row>
    <row r="34" spans="1:30" x14ac:dyDescent="0.25">
      <c r="A34" s="63"/>
      <c r="B34" s="68"/>
      <c r="F34" s="147"/>
      <c r="G34" s="147"/>
      <c r="H34" s="147"/>
      <c r="I34" s="74"/>
      <c r="J34" s="63"/>
      <c r="K34" s="63"/>
      <c r="L34" s="63"/>
      <c r="M34" s="63"/>
      <c r="N34" s="63"/>
      <c r="O34" s="63"/>
      <c r="P34" s="168"/>
      <c r="X34" s="169"/>
      <c r="Y34" s="63"/>
      <c r="Z34" s="63"/>
      <c r="AA34" s="63"/>
      <c r="AB34" s="63"/>
      <c r="AC34" s="63"/>
      <c r="AD34" s="63"/>
    </row>
    <row r="35" spans="1:30" x14ac:dyDescent="0.25">
      <c r="A35" s="63"/>
      <c r="B35" s="68"/>
      <c r="F35" s="147"/>
      <c r="G35" s="147"/>
      <c r="H35" s="147"/>
      <c r="I35" s="74"/>
      <c r="J35" s="63"/>
      <c r="K35" s="63"/>
      <c r="L35" s="63"/>
      <c r="M35" s="63"/>
      <c r="N35" s="63"/>
      <c r="O35" s="63"/>
      <c r="P35" s="168"/>
      <c r="X35" s="169"/>
      <c r="Y35" s="63"/>
      <c r="Z35" s="63"/>
      <c r="AA35" s="63"/>
      <c r="AB35" s="63"/>
      <c r="AC35" s="63"/>
      <c r="AD35" s="63"/>
    </row>
    <row r="36" spans="1:30" ht="14.4" x14ac:dyDescent="0.3">
      <c r="A36" s="63"/>
      <c r="B36" s="68"/>
      <c r="E36"/>
      <c r="H36" s="147"/>
      <c r="I36" s="74"/>
      <c r="J36" s="63"/>
      <c r="K36" s="63"/>
      <c r="L36" s="63"/>
      <c r="M36" s="63"/>
      <c r="N36" s="63"/>
      <c r="O36" s="63"/>
      <c r="P36" s="168"/>
      <c r="X36" s="169"/>
      <c r="Y36" s="63"/>
      <c r="Z36" s="63"/>
      <c r="AA36" s="63"/>
      <c r="AB36" s="63"/>
      <c r="AC36" s="63"/>
      <c r="AD36" s="63"/>
    </row>
    <row r="37" spans="1:30" x14ac:dyDescent="0.25">
      <c r="A37" s="63"/>
      <c r="B37" s="68"/>
      <c r="C37" s="207" t="s">
        <v>518</v>
      </c>
      <c r="D37" s="78"/>
      <c r="F37" s="207" t="s">
        <v>519</v>
      </c>
      <c r="H37" s="147"/>
      <c r="I37" s="74"/>
      <c r="J37" s="63"/>
      <c r="K37" s="63"/>
      <c r="L37" s="63"/>
      <c r="M37" s="63"/>
      <c r="N37" s="63"/>
      <c r="O37" s="63"/>
      <c r="P37" s="168"/>
      <c r="X37" s="169"/>
      <c r="Y37" s="63"/>
      <c r="Z37" s="63"/>
      <c r="AA37" s="63"/>
      <c r="AB37" s="63"/>
      <c r="AC37" s="63"/>
      <c r="AD37" s="63"/>
    </row>
    <row r="38" spans="1:30" ht="14.4" x14ac:dyDescent="0.3">
      <c r="A38" s="63"/>
      <c r="B38" s="68"/>
      <c r="C38" s="156" t="s">
        <v>454</v>
      </c>
      <c r="D38" t="s">
        <v>456</v>
      </c>
      <c r="E38"/>
      <c r="F38" s="156" t="s">
        <v>454</v>
      </c>
      <c r="G38" t="s">
        <v>456</v>
      </c>
      <c r="H38" s="147"/>
      <c r="I38" s="74"/>
      <c r="J38" s="63"/>
      <c r="K38" s="63"/>
      <c r="L38" s="63"/>
      <c r="M38" s="63"/>
      <c r="N38" s="63"/>
      <c r="O38" s="63"/>
      <c r="P38" s="168"/>
      <c r="X38" s="169"/>
      <c r="Y38" s="63"/>
      <c r="Z38" s="63"/>
      <c r="AA38" s="63"/>
      <c r="AB38" s="63"/>
      <c r="AC38" s="63"/>
      <c r="AD38" s="63"/>
    </row>
    <row r="39" spans="1:30" ht="14.4" x14ac:dyDescent="0.3">
      <c r="A39" s="63"/>
      <c r="B39" s="68"/>
      <c r="C39" s="157" t="s">
        <v>218</v>
      </c>
      <c r="D39" s="203">
        <v>55506.250000000007</v>
      </c>
      <c r="E39"/>
      <c r="F39" s="157" t="s">
        <v>531</v>
      </c>
      <c r="G39" s="203">
        <v>55506.250000000007</v>
      </c>
      <c r="H39" s="147"/>
      <c r="I39" s="74"/>
      <c r="J39" s="63"/>
      <c r="K39" s="63"/>
      <c r="L39" s="63"/>
      <c r="M39" s="63"/>
      <c r="N39" s="63"/>
      <c r="O39" s="63"/>
      <c r="P39" s="168"/>
      <c r="X39" s="169"/>
      <c r="Y39" s="63"/>
      <c r="Z39" s="63"/>
      <c r="AA39" s="63"/>
      <c r="AB39" s="63"/>
      <c r="AC39" s="63"/>
      <c r="AD39" s="63"/>
    </row>
    <row r="40" spans="1:30" ht="14.4" x14ac:dyDescent="0.3">
      <c r="A40" s="63"/>
      <c r="B40" s="68"/>
      <c r="C40" s="157" t="s">
        <v>219</v>
      </c>
      <c r="D40" s="203">
        <v>13385.699999999999</v>
      </c>
      <c r="E40"/>
      <c r="F40" s="157" t="s">
        <v>539</v>
      </c>
      <c r="G40" s="203">
        <v>1887.8</v>
      </c>
      <c r="H40" s="147"/>
      <c r="I40" s="74"/>
      <c r="J40" s="63"/>
      <c r="K40" s="63"/>
      <c r="L40" s="63"/>
      <c r="M40" s="63"/>
      <c r="N40" s="63"/>
      <c r="O40" s="63"/>
      <c r="P40" s="168"/>
      <c r="X40" s="169"/>
      <c r="Y40" s="63"/>
      <c r="Z40" s="63"/>
      <c r="AA40" s="63"/>
      <c r="AB40" s="63"/>
      <c r="AC40" s="63"/>
      <c r="AD40" s="63"/>
    </row>
    <row r="41" spans="1:30" ht="14.4" x14ac:dyDescent="0.3">
      <c r="A41" s="63"/>
      <c r="B41" s="68"/>
      <c r="C41" s="157" t="s">
        <v>222</v>
      </c>
      <c r="D41" s="203">
        <v>4403.2299999999996</v>
      </c>
      <c r="E41"/>
      <c r="F41" s="157" t="s">
        <v>522</v>
      </c>
      <c r="G41" s="203">
        <v>675.2600000000001</v>
      </c>
      <c r="H41" s="147"/>
      <c r="I41" s="74"/>
      <c r="J41" s="63"/>
      <c r="K41" s="63"/>
      <c r="L41" s="63"/>
      <c r="M41" s="63"/>
      <c r="N41" s="63"/>
      <c r="O41" s="63"/>
      <c r="P41" s="168"/>
      <c r="X41" s="169"/>
      <c r="Y41" s="63"/>
      <c r="Z41" s="63"/>
      <c r="AA41" s="63"/>
      <c r="AB41" s="63"/>
      <c r="AC41" s="63"/>
      <c r="AD41" s="63"/>
    </row>
    <row r="42" spans="1:30" ht="14.4" x14ac:dyDescent="0.3">
      <c r="A42" s="63"/>
      <c r="B42" s="68"/>
      <c r="C42" s="157" t="s">
        <v>126</v>
      </c>
      <c r="D42" s="203">
        <v>2490.19</v>
      </c>
      <c r="E42"/>
      <c r="F42" s="157" t="s">
        <v>532</v>
      </c>
      <c r="G42" s="203">
        <v>1092.55</v>
      </c>
      <c r="H42" s="148"/>
      <c r="I42" s="74"/>
      <c r="J42" s="63"/>
      <c r="K42" s="63"/>
      <c r="L42" s="63"/>
      <c r="M42" s="63"/>
      <c r="N42" s="63"/>
      <c r="O42" s="63"/>
      <c r="P42" s="168"/>
      <c r="X42" s="169"/>
      <c r="Y42" s="63"/>
      <c r="Z42" s="63"/>
      <c r="AA42" s="63"/>
      <c r="AB42" s="63"/>
      <c r="AC42" s="63"/>
      <c r="AD42" s="63"/>
    </row>
    <row r="43" spans="1:30" ht="14.4" x14ac:dyDescent="0.3">
      <c r="A43" s="63"/>
      <c r="B43" s="68"/>
      <c r="C43" s="157" t="s">
        <v>223</v>
      </c>
      <c r="D43" s="203">
        <v>1469.3600000000001</v>
      </c>
      <c r="E43"/>
      <c r="F43" s="157" t="s">
        <v>540</v>
      </c>
      <c r="G43" s="203">
        <v>2697.9</v>
      </c>
      <c r="H43" s="152"/>
      <c r="I43" s="74"/>
      <c r="J43" s="63"/>
      <c r="K43" s="63"/>
      <c r="L43" s="63"/>
      <c r="M43" s="63"/>
      <c r="N43" s="63"/>
      <c r="O43" s="63"/>
      <c r="P43" s="168"/>
      <c r="X43" s="169"/>
      <c r="Y43" s="63"/>
      <c r="Z43" s="63"/>
      <c r="AA43" s="63"/>
      <c r="AB43" s="63"/>
      <c r="AC43" s="63"/>
      <c r="AD43" s="63"/>
    </row>
    <row r="44" spans="1:30" ht="14.4" x14ac:dyDescent="0.3">
      <c r="A44" s="63"/>
      <c r="B44" s="68"/>
      <c r="C44" s="157" t="s">
        <v>217</v>
      </c>
      <c r="D44" s="203">
        <v>1256.25</v>
      </c>
      <c r="E44"/>
      <c r="F44" s="157" t="s">
        <v>535</v>
      </c>
      <c r="G44" s="203">
        <v>51</v>
      </c>
      <c r="H44" s="88"/>
      <c r="I44" s="74"/>
      <c r="J44" s="63"/>
      <c r="K44" s="63"/>
      <c r="L44" s="63"/>
      <c r="M44" s="63"/>
      <c r="N44" s="63"/>
      <c r="O44" s="63"/>
      <c r="P44" s="168"/>
      <c r="X44" s="169"/>
      <c r="Y44" s="63"/>
      <c r="Z44" s="63"/>
      <c r="AA44" s="63"/>
      <c r="AB44" s="63"/>
      <c r="AC44" s="63"/>
      <c r="AD44" s="63"/>
    </row>
    <row r="45" spans="1:30" ht="14.4" x14ac:dyDescent="0.3">
      <c r="A45" s="63"/>
      <c r="B45" s="68"/>
      <c r="C45" s="157" t="s">
        <v>221</v>
      </c>
      <c r="D45" s="203">
        <v>697.38000000000011</v>
      </c>
      <c r="E45"/>
      <c r="F45" s="157" t="s">
        <v>533</v>
      </c>
      <c r="G45" s="203">
        <v>2364.6600000000003</v>
      </c>
      <c r="H45" s="152"/>
      <c r="I45" s="74"/>
      <c r="J45" s="63"/>
      <c r="K45" s="63"/>
      <c r="L45" s="63"/>
      <c r="M45" s="63"/>
      <c r="N45" s="63"/>
      <c r="O45" s="63"/>
      <c r="P45" s="168"/>
      <c r="X45" s="169"/>
      <c r="Y45" s="63"/>
      <c r="Z45" s="63"/>
      <c r="AA45" s="63"/>
      <c r="AB45" s="63"/>
      <c r="AC45" s="63"/>
      <c r="AD45" s="63"/>
    </row>
    <row r="46" spans="1:30" ht="14.4" x14ac:dyDescent="0.3">
      <c r="A46" s="63"/>
      <c r="B46" s="68"/>
      <c r="C46" s="157" t="s">
        <v>220</v>
      </c>
      <c r="D46" s="203">
        <v>28.88</v>
      </c>
      <c r="E46"/>
      <c r="F46" s="157" t="s">
        <v>520</v>
      </c>
      <c r="G46" s="203">
        <v>25.75</v>
      </c>
      <c r="H46" s="88"/>
      <c r="I46" s="74"/>
      <c r="J46" s="63"/>
      <c r="K46" s="63"/>
      <c r="L46" s="63"/>
      <c r="M46" s="63"/>
      <c r="N46" s="63"/>
      <c r="O46" s="63"/>
      <c r="P46" s="168"/>
      <c r="X46" s="169"/>
      <c r="Y46" s="63"/>
      <c r="Z46" s="63"/>
      <c r="AA46" s="63"/>
      <c r="AB46" s="63"/>
      <c r="AC46" s="63"/>
      <c r="AD46" s="63"/>
    </row>
    <row r="47" spans="1:30" ht="14.4" x14ac:dyDescent="0.3">
      <c r="A47" s="63"/>
      <c r="B47" s="68"/>
      <c r="C47" s="157" t="s">
        <v>455</v>
      </c>
      <c r="D47" s="203">
        <v>79237.24000000002</v>
      </c>
      <c r="E47"/>
      <c r="F47" s="157" t="s">
        <v>536</v>
      </c>
      <c r="G47" s="203">
        <v>400</v>
      </c>
      <c r="H47" s="147"/>
      <c r="I47" s="74"/>
      <c r="J47" s="63"/>
      <c r="K47" s="63"/>
      <c r="L47" s="63"/>
      <c r="M47" s="63"/>
      <c r="N47" s="63"/>
      <c r="O47" s="63"/>
      <c r="P47" s="168"/>
      <c r="X47" s="169"/>
      <c r="Y47" s="63"/>
      <c r="Z47" s="63"/>
      <c r="AA47" s="63"/>
      <c r="AB47" s="63"/>
      <c r="AC47" s="63"/>
      <c r="AD47" s="63"/>
    </row>
    <row r="48" spans="1:30" ht="14.4" x14ac:dyDescent="0.3">
      <c r="A48" s="63"/>
      <c r="B48" s="68"/>
      <c r="C48"/>
      <c r="D48"/>
      <c r="E48"/>
      <c r="F48" s="157" t="s">
        <v>541</v>
      </c>
      <c r="G48" s="203">
        <v>8800</v>
      </c>
      <c r="H48" s="148"/>
      <c r="I48" s="74"/>
      <c r="J48" s="63"/>
      <c r="K48" s="63"/>
      <c r="L48" s="63"/>
      <c r="M48" s="63"/>
      <c r="N48" s="63"/>
      <c r="O48" s="63"/>
      <c r="P48" s="168"/>
      <c r="X48" s="169"/>
      <c r="Y48" s="63"/>
      <c r="Z48" s="63"/>
      <c r="AA48" s="63"/>
      <c r="AB48" s="63"/>
      <c r="AC48" s="63"/>
      <c r="AD48" s="63"/>
    </row>
    <row r="49" spans="1:30" ht="14.4" x14ac:dyDescent="0.3">
      <c r="A49" s="63"/>
      <c r="B49" s="68"/>
      <c r="C49"/>
      <c r="D49"/>
      <c r="E49"/>
      <c r="F49" s="157" t="s">
        <v>537</v>
      </c>
      <c r="G49" s="203">
        <v>180</v>
      </c>
      <c r="H49" s="152"/>
      <c r="I49" s="74"/>
      <c r="J49" s="63"/>
      <c r="K49" s="63"/>
      <c r="L49" s="63"/>
      <c r="M49" s="63"/>
      <c r="N49" s="63"/>
      <c r="O49" s="63"/>
      <c r="P49" s="168"/>
      <c r="X49" s="169"/>
      <c r="Y49" s="63"/>
      <c r="Z49" s="63"/>
      <c r="AA49" s="63"/>
      <c r="AB49" s="63"/>
      <c r="AC49" s="63"/>
      <c r="AD49" s="63"/>
    </row>
    <row r="50" spans="1:30" ht="14.4" x14ac:dyDescent="0.3">
      <c r="A50" s="63"/>
      <c r="B50" s="68"/>
      <c r="C50"/>
      <c r="D50"/>
      <c r="E50"/>
      <c r="F50" s="157" t="s">
        <v>523</v>
      </c>
      <c r="G50" s="203">
        <v>-115.31</v>
      </c>
      <c r="H50" s="88"/>
      <c r="I50" s="74"/>
      <c r="J50" s="63"/>
      <c r="K50" s="63"/>
      <c r="L50" s="63"/>
      <c r="M50" s="63"/>
      <c r="N50" s="63"/>
      <c r="O50" s="63"/>
      <c r="P50" s="168"/>
      <c r="X50" s="169"/>
      <c r="Y50" s="63"/>
      <c r="Z50" s="63"/>
      <c r="AA50" s="63"/>
      <c r="AB50" s="63"/>
      <c r="AC50" s="63"/>
      <c r="AD50" s="63"/>
    </row>
    <row r="51" spans="1:30" ht="14.4" x14ac:dyDescent="0.3">
      <c r="A51" s="63"/>
      <c r="B51" s="68"/>
      <c r="C51"/>
      <c r="D51"/>
      <c r="E51"/>
      <c r="F51" s="157" t="s">
        <v>534</v>
      </c>
      <c r="G51" s="203">
        <v>946.02</v>
      </c>
      <c r="H51" s="152"/>
      <c r="I51" s="74"/>
      <c r="J51" s="63"/>
      <c r="K51" s="63"/>
      <c r="L51" s="63"/>
      <c r="M51" s="63"/>
      <c r="N51" s="63"/>
      <c r="O51" s="63"/>
      <c r="P51" s="168"/>
      <c r="X51" s="169"/>
      <c r="Y51" s="63"/>
      <c r="Z51" s="63"/>
      <c r="AA51" s="63"/>
      <c r="AB51" s="63"/>
      <c r="AC51" s="63"/>
      <c r="AD51" s="63"/>
    </row>
    <row r="52" spans="1:30" ht="14.4" x14ac:dyDescent="0.3">
      <c r="A52" s="63"/>
      <c r="B52" s="68"/>
      <c r="C52"/>
      <c r="D52"/>
      <c r="E52"/>
      <c r="F52" s="157" t="s">
        <v>538</v>
      </c>
      <c r="G52" s="203">
        <v>58</v>
      </c>
      <c r="H52" s="88"/>
      <c r="I52" s="74"/>
      <c r="J52" s="63"/>
      <c r="K52" s="63"/>
      <c r="L52" s="63"/>
      <c r="M52" s="63"/>
      <c r="N52" s="63"/>
      <c r="O52" s="63"/>
      <c r="P52" s="168"/>
      <c r="X52" s="169"/>
      <c r="Y52" s="63"/>
      <c r="Z52" s="63"/>
      <c r="AA52" s="63"/>
      <c r="AB52" s="63"/>
      <c r="AC52" s="63"/>
      <c r="AD52" s="63"/>
    </row>
    <row r="53" spans="1:30" ht="14.4" x14ac:dyDescent="0.3">
      <c r="A53" s="63"/>
      <c r="B53" s="68"/>
      <c r="C53"/>
      <c r="D53"/>
      <c r="E53"/>
      <c r="F53" s="157" t="s">
        <v>524</v>
      </c>
      <c r="G53" s="203">
        <v>320</v>
      </c>
      <c r="H53" s="147"/>
      <c r="I53" s="74"/>
      <c r="J53" s="63"/>
      <c r="K53" s="63"/>
      <c r="L53" s="63"/>
      <c r="M53" s="63"/>
      <c r="N53" s="63"/>
      <c r="O53" s="63"/>
      <c r="P53" s="168"/>
      <c r="X53" s="169"/>
      <c r="Y53" s="63"/>
      <c r="Z53" s="63"/>
      <c r="AA53" s="63"/>
      <c r="AB53" s="63"/>
      <c r="AC53" s="63"/>
      <c r="AD53" s="63"/>
    </row>
    <row r="54" spans="1:30" ht="14.4" x14ac:dyDescent="0.3">
      <c r="A54" s="63"/>
      <c r="B54" s="68"/>
      <c r="C54"/>
      <c r="D54"/>
      <c r="E54"/>
      <c r="F54" s="157" t="s">
        <v>525</v>
      </c>
      <c r="G54" s="203">
        <v>272.5</v>
      </c>
      <c r="H54" s="148"/>
      <c r="I54" s="74"/>
      <c r="J54" s="63"/>
      <c r="K54" s="63"/>
      <c r="L54" s="63"/>
      <c r="M54" s="63"/>
      <c r="N54" s="63"/>
      <c r="O54" s="63"/>
      <c r="P54" s="168"/>
      <c r="X54" s="169"/>
      <c r="Y54" s="63"/>
      <c r="Z54" s="63"/>
      <c r="AA54" s="63"/>
      <c r="AB54" s="63"/>
      <c r="AC54" s="63"/>
      <c r="AD54" s="63"/>
    </row>
    <row r="55" spans="1:30" ht="14.4" x14ac:dyDescent="0.3">
      <c r="A55" s="63"/>
      <c r="B55" s="68"/>
      <c r="C55"/>
      <c r="D55"/>
      <c r="E55"/>
      <c r="F55" s="157" t="s">
        <v>569</v>
      </c>
      <c r="G55" s="203">
        <v>755.75</v>
      </c>
      <c r="H55" s="152"/>
      <c r="I55" s="74"/>
      <c r="J55" s="63"/>
      <c r="K55" s="63"/>
      <c r="L55" s="63"/>
      <c r="M55" s="63"/>
      <c r="N55" s="63"/>
      <c r="O55" s="63"/>
      <c r="P55" s="168"/>
      <c r="X55" s="169"/>
      <c r="Y55" s="63"/>
      <c r="Z55" s="63"/>
      <c r="AA55" s="63"/>
      <c r="AB55" s="63"/>
      <c r="AC55" s="63"/>
      <c r="AD55" s="63"/>
    </row>
    <row r="56" spans="1:30" ht="14.4" x14ac:dyDescent="0.3">
      <c r="A56" s="63"/>
      <c r="B56" s="68"/>
      <c r="C56"/>
      <c r="D56"/>
      <c r="E56"/>
      <c r="F56" s="157" t="s">
        <v>570</v>
      </c>
      <c r="G56" s="203">
        <v>302.48</v>
      </c>
      <c r="H56" s="88"/>
      <c r="I56" s="74"/>
      <c r="J56" s="63"/>
      <c r="K56" s="63"/>
      <c r="L56" s="63"/>
      <c r="M56" s="63"/>
      <c r="N56" s="63"/>
      <c r="O56" s="63"/>
      <c r="P56" s="168"/>
      <c r="X56" s="169"/>
      <c r="Y56" s="63"/>
      <c r="Z56" s="63"/>
      <c r="AA56" s="63"/>
      <c r="AB56" s="63"/>
      <c r="AC56" s="63"/>
      <c r="AD56" s="63"/>
    </row>
    <row r="57" spans="1:30" ht="14.4" x14ac:dyDescent="0.3">
      <c r="A57" s="63"/>
      <c r="B57" s="68"/>
      <c r="C57"/>
      <c r="D57"/>
      <c r="E57"/>
      <c r="F57" s="157" t="s">
        <v>571</v>
      </c>
      <c r="G57" s="203">
        <v>1236.73</v>
      </c>
      <c r="H57" s="152"/>
      <c r="I57" s="74"/>
      <c r="J57" s="63"/>
      <c r="K57" s="63"/>
      <c r="L57" s="63"/>
      <c r="M57" s="63"/>
      <c r="N57" s="63"/>
      <c r="O57" s="63"/>
      <c r="P57" s="168"/>
      <c r="X57" s="169"/>
      <c r="Y57" s="63"/>
      <c r="Z57" s="63"/>
      <c r="AA57" s="63"/>
      <c r="AB57" s="63"/>
      <c r="AC57" s="63"/>
      <c r="AD57" s="63"/>
    </row>
    <row r="58" spans="1:30" ht="14.4" x14ac:dyDescent="0.3">
      <c r="A58" s="63"/>
      <c r="B58" s="68"/>
      <c r="C58"/>
      <c r="D58"/>
      <c r="E58"/>
      <c r="F58" s="157" t="s">
        <v>572</v>
      </c>
      <c r="G58" s="203">
        <v>1066.29</v>
      </c>
      <c r="H58" s="88"/>
      <c r="I58" s="74"/>
      <c r="J58" s="63"/>
      <c r="K58" s="63"/>
      <c r="L58" s="63"/>
      <c r="M58" s="63"/>
      <c r="N58" s="63"/>
      <c r="O58" s="63"/>
      <c r="P58" s="168"/>
      <c r="X58" s="169"/>
      <c r="Y58" s="63"/>
      <c r="Z58" s="63"/>
      <c r="AA58" s="63"/>
      <c r="AB58" s="63"/>
      <c r="AC58" s="63"/>
      <c r="AD58" s="63"/>
    </row>
    <row r="59" spans="1:30" ht="14.4" x14ac:dyDescent="0.3">
      <c r="A59" s="63"/>
      <c r="B59" s="68"/>
      <c r="C59"/>
      <c r="D59"/>
      <c r="E59"/>
      <c r="F59" s="157" t="s">
        <v>576</v>
      </c>
      <c r="G59" s="203">
        <v>713.61</v>
      </c>
      <c r="H59" s="147"/>
      <c r="I59" s="74"/>
      <c r="J59" s="63"/>
      <c r="K59" s="63"/>
      <c r="L59" s="63"/>
      <c r="M59" s="63"/>
      <c r="N59" s="63"/>
      <c r="O59" s="63"/>
      <c r="P59" s="168"/>
      <c r="X59" s="169"/>
      <c r="Y59" s="63"/>
      <c r="Z59" s="63"/>
      <c r="AA59" s="63"/>
      <c r="AB59" s="63"/>
      <c r="AC59" s="63"/>
      <c r="AD59" s="63"/>
    </row>
    <row r="60" spans="1:30" ht="14.4" x14ac:dyDescent="0.3">
      <c r="A60" s="63"/>
      <c r="B60" s="68"/>
      <c r="C60"/>
      <c r="D60"/>
      <c r="E60"/>
      <c r="F60" s="157" t="s">
        <v>455</v>
      </c>
      <c r="G60" s="203">
        <v>79237.240000000005</v>
      </c>
      <c r="H60" s="148"/>
      <c r="I60" s="74"/>
      <c r="J60" s="63"/>
      <c r="K60" s="63"/>
      <c r="L60" s="63"/>
      <c r="M60" s="63"/>
      <c r="N60" s="63"/>
      <c r="O60" s="63"/>
      <c r="P60" s="168"/>
      <c r="X60" s="169"/>
      <c r="Y60" s="63"/>
      <c r="Z60" s="63"/>
      <c r="AA60" s="63"/>
      <c r="AB60" s="63"/>
      <c r="AC60" s="63"/>
      <c r="AD60" s="63"/>
    </row>
    <row r="61" spans="1:30" ht="14.4" x14ac:dyDescent="0.3">
      <c r="A61" s="63"/>
      <c r="B61" s="68"/>
      <c r="C61"/>
      <c r="D61"/>
      <c r="E61"/>
      <c r="F61"/>
      <c r="G61"/>
      <c r="H61" s="152"/>
      <c r="I61" s="74"/>
      <c r="J61" s="63"/>
      <c r="K61" s="63"/>
      <c r="L61" s="63"/>
      <c r="M61" s="63"/>
      <c r="N61" s="63"/>
      <c r="O61" s="63"/>
      <c r="P61" s="168"/>
      <c r="X61" s="169"/>
      <c r="Y61" s="63"/>
      <c r="Z61" s="63"/>
      <c r="AA61" s="63"/>
      <c r="AB61" s="63"/>
      <c r="AC61" s="63"/>
      <c r="AD61" s="63"/>
    </row>
    <row r="62" spans="1:30" ht="14.4" x14ac:dyDescent="0.3">
      <c r="A62" s="63"/>
      <c r="B62" s="68"/>
      <c r="C62"/>
      <c r="D62"/>
      <c r="E62"/>
      <c r="F62"/>
      <c r="G62"/>
      <c r="H62" s="88"/>
      <c r="I62" s="74"/>
      <c r="J62" s="63"/>
      <c r="K62" s="63"/>
      <c r="L62" s="63"/>
      <c r="M62" s="63"/>
      <c r="N62" s="63"/>
      <c r="O62" s="63"/>
      <c r="P62" s="168"/>
      <c r="X62" s="169"/>
      <c r="Y62" s="63"/>
      <c r="Z62" s="63"/>
      <c r="AA62" s="63"/>
      <c r="AB62" s="63"/>
      <c r="AC62" s="63"/>
      <c r="AD62" s="63"/>
    </row>
    <row r="63" spans="1:30" ht="14.4" x14ac:dyDescent="0.3">
      <c r="A63" s="63"/>
      <c r="B63" s="68"/>
      <c r="C63"/>
      <c r="D63"/>
      <c r="E63"/>
      <c r="F63"/>
      <c r="G63"/>
      <c r="H63" s="152"/>
      <c r="I63" s="74"/>
      <c r="J63" s="63"/>
      <c r="K63" s="63"/>
      <c r="L63" s="63"/>
      <c r="M63" s="63"/>
      <c r="N63" s="63"/>
      <c r="O63" s="63"/>
      <c r="P63" s="168"/>
      <c r="X63" s="169"/>
      <c r="Y63" s="63"/>
      <c r="Z63" s="63"/>
      <c r="AA63" s="63"/>
      <c r="AB63" s="63"/>
      <c r="AC63" s="63"/>
      <c r="AD63" s="63"/>
    </row>
    <row r="64" spans="1:30" ht="14.4" x14ac:dyDescent="0.3">
      <c r="A64" s="63"/>
      <c r="B64" s="68"/>
      <c r="C64"/>
      <c r="D64"/>
      <c r="E64"/>
      <c r="F64"/>
      <c r="G64"/>
      <c r="H64" s="88"/>
      <c r="I64" s="74"/>
      <c r="J64" s="63"/>
      <c r="K64" s="63"/>
      <c r="L64" s="63"/>
      <c r="M64" s="63"/>
      <c r="N64" s="63"/>
      <c r="O64" s="63"/>
      <c r="P64" s="168"/>
      <c r="X64" s="169"/>
      <c r="Y64" s="63"/>
      <c r="Z64" s="63"/>
      <c r="AA64" s="63"/>
      <c r="AB64" s="63"/>
      <c r="AC64" s="63"/>
      <c r="AD64" s="63"/>
    </row>
    <row r="65" spans="1:30" ht="14.4" x14ac:dyDescent="0.3">
      <c r="A65" s="63"/>
      <c r="B65" s="68"/>
      <c r="C65"/>
      <c r="D65"/>
      <c r="E65"/>
      <c r="F65"/>
      <c r="G65"/>
      <c r="H65" s="147"/>
      <c r="I65" s="74"/>
      <c r="J65" s="63"/>
      <c r="K65" s="63"/>
      <c r="L65" s="63"/>
      <c r="M65" s="63"/>
      <c r="N65" s="63"/>
      <c r="O65" s="63"/>
      <c r="P65" s="168"/>
      <c r="X65" s="169"/>
      <c r="Y65" s="63"/>
      <c r="Z65" s="63"/>
      <c r="AA65" s="63"/>
      <c r="AB65" s="63"/>
      <c r="AC65" s="63"/>
      <c r="AD65" s="63"/>
    </row>
    <row r="66" spans="1:30" ht="14.4" x14ac:dyDescent="0.3">
      <c r="A66" s="63"/>
      <c r="B66" s="68"/>
      <c r="C66"/>
      <c r="D66"/>
      <c r="E66"/>
      <c r="F66"/>
      <c r="G66"/>
      <c r="H66" s="148"/>
      <c r="I66" s="74"/>
      <c r="J66" s="63"/>
      <c r="K66" s="63"/>
      <c r="L66" s="63"/>
      <c r="M66" s="63"/>
      <c r="N66" s="63"/>
      <c r="O66" s="63"/>
      <c r="P66" s="168"/>
      <c r="X66" s="169"/>
      <c r="Y66" s="63"/>
      <c r="Z66" s="63"/>
      <c r="AA66" s="63"/>
      <c r="AB66" s="63"/>
      <c r="AC66" s="63"/>
      <c r="AD66" s="63"/>
    </row>
    <row r="67" spans="1:30" ht="14.4" x14ac:dyDescent="0.3">
      <c r="A67" s="63"/>
      <c r="B67" s="68"/>
      <c r="C67"/>
      <c r="D67"/>
      <c r="E67"/>
      <c r="F67"/>
      <c r="G67"/>
      <c r="H67" s="152"/>
      <c r="I67" s="74"/>
      <c r="J67" s="63"/>
      <c r="K67" s="63"/>
      <c r="L67" s="63"/>
      <c r="M67" s="63"/>
      <c r="N67" s="63"/>
      <c r="O67" s="63"/>
      <c r="P67" s="168"/>
      <c r="T67" s="147"/>
      <c r="X67" s="169"/>
      <c r="Y67" s="63"/>
      <c r="Z67" s="63"/>
      <c r="AA67" s="63"/>
      <c r="AB67" s="63"/>
      <c r="AC67" s="63"/>
      <c r="AD67" s="63"/>
    </row>
    <row r="68" spans="1:30" ht="14.4" x14ac:dyDescent="0.3">
      <c r="A68" s="63"/>
      <c r="B68" s="68"/>
      <c r="C68"/>
      <c r="D68"/>
      <c r="E68"/>
      <c r="F68"/>
      <c r="G68"/>
      <c r="H68" s="118"/>
      <c r="I68" s="74"/>
      <c r="J68" s="63"/>
      <c r="K68" s="63"/>
      <c r="L68" s="63"/>
      <c r="M68" s="63"/>
      <c r="N68" s="63"/>
      <c r="O68" s="63"/>
      <c r="P68" s="168"/>
      <c r="T68" s="147"/>
      <c r="X68" s="169"/>
      <c r="Y68" s="63"/>
      <c r="Z68" s="63"/>
      <c r="AA68" s="63"/>
      <c r="AB68" s="63"/>
      <c r="AC68" s="63"/>
      <c r="AD68" s="63"/>
    </row>
    <row r="69" spans="1:30" ht="14.4" x14ac:dyDescent="0.3">
      <c r="A69" s="63"/>
      <c r="C69"/>
      <c r="D69"/>
      <c r="E69"/>
      <c r="F69"/>
      <c r="G69"/>
      <c r="J69" s="63"/>
      <c r="K69" s="63"/>
      <c r="L69" s="63"/>
      <c r="M69" s="63"/>
      <c r="N69" s="63"/>
      <c r="O69" s="63"/>
      <c r="P69" s="168"/>
      <c r="T69" s="147"/>
      <c r="X69" s="169"/>
      <c r="Y69" s="63"/>
      <c r="Z69" s="63"/>
      <c r="AA69" s="63"/>
      <c r="AB69" s="63"/>
      <c r="AC69" s="63"/>
      <c r="AD69" s="63"/>
    </row>
    <row r="70" spans="1:30" ht="14.4" x14ac:dyDescent="0.3">
      <c r="A70" s="63"/>
      <c r="C70"/>
      <c r="D70"/>
      <c r="E70"/>
      <c r="F70"/>
      <c r="G70"/>
      <c r="J70" s="63"/>
      <c r="K70" s="63"/>
      <c r="L70" s="63"/>
      <c r="M70" s="63"/>
      <c r="N70" s="63"/>
      <c r="O70" s="63"/>
      <c r="P70" s="168"/>
      <c r="T70" s="147"/>
      <c r="X70" s="169"/>
      <c r="Y70" s="63"/>
      <c r="Z70" s="63"/>
      <c r="AA70" s="63"/>
      <c r="AB70" s="63"/>
      <c r="AC70" s="63"/>
      <c r="AD70" s="63"/>
    </row>
    <row r="71" spans="1:30" ht="14.4" x14ac:dyDescent="0.3">
      <c r="A71" s="63"/>
      <c r="C71"/>
      <c r="D71"/>
      <c r="E71"/>
      <c r="F71"/>
      <c r="G71"/>
      <c r="J71" s="63"/>
      <c r="K71" s="63"/>
      <c r="L71" s="63"/>
      <c r="M71" s="63"/>
      <c r="N71" s="63"/>
      <c r="O71" s="63"/>
      <c r="P71" s="168"/>
      <c r="T71" s="147"/>
      <c r="X71" s="169"/>
      <c r="Y71" s="63"/>
      <c r="Z71" s="63"/>
      <c r="AA71" s="63"/>
      <c r="AB71" s="63"/>
      <c r="AC71" s="63"/>
      <c r="AD71" s="63"/>
    </row>
    <row r="72" spans="1:30" x14ac:dyDescent="0.25">
      <c r="A72" s="63"/>
      <c r="B72" s="81"/>
      <c r="C72" s="119"/>
      <c r="D72" s="119"/>
      <c r="E72" s="119"/>
      <c r="F72" s="119"/>
      <c r="G72" s="119"/>
      <c r="H72" s="119"/>
      <c r="I72" s="82"/>
      <c r="J72" s="63"/>
      <c r="K72" s="63"/>
      <c r="L72" s="63"/>
      <c r="M72" s="63"/>
      <c r="N72" s="63"/>
      <c r="O72" s="63"/>
      <c r="P72" s="168"/>
      <c r="T72" s="147"/>
      <c r="X72" s="169"/>
      <c r="Y72" s="63"/>
      <c r="Z72" s="63"/>
      <c r="AA72" s="63"/>
      <c r="AB72" s="63"/>
      <c r="AC72" s="63"/>
      <c r="AD72" s="63"/>
    </row>
    <row r="73" spans="1:30" x14ac:dyDescent="0.25">
      <c r="A73" s="63"/>
      <c r="B73" s="63"/>
      <c r="C73" s="63"/>
      <c r="D73" s="63"/>
      <c r="E73" s="63"/>
      <c r="F73" s="63"/>
      <c r="G73" s="63"/>
      <c r="H73" s="63"/>
      <c r="I73" s="63"/>
      <c r="J73" s="63"/>
      <c r="K73" s="63"/>
      <c r="L73" s="63"/>
      <c r="M73" s="63"/>
      <c r="N73" s="63"/>
      <c r="O73" s="63"/>
      <c r="P73" s="170"/>
      <c r="Q73" s="171"/>
      <c r="R73" s="171"/>
      <c r="S73" s="171"/>
      <c r="T73" s="171"/>
      <c r="U73" s="171"/>
      <c r="V73" s="171"/>
      <c r="W73" s="171"/>
      <c r="X73" s="172"/>
      <c r="Y73" s="63"/>
      <c r="Z73" s="63"/>
      <c r="AA73" s="63"/>
      <c r="AB73" s="63"/>
      <c r="AC73" s="63"/>
      <c r="AD73" s="63"/>
    </row>
    <row r="74" spans="1:30" x14ac:dyDescent="0.25">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row>
    <row r="75" spans="1:30" x14ac:dyDescent="0.25">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row>
    <row r="76" spans="1:30" x14ac:dyDescent="0.25">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row>
    <row r="77" spans="1:30" x14ac:dyDescent="0.25">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row>
    <row r="78" spans="1:30" x14ac:dyDescent="0.25">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row>
    <row r="79" spans="1:30" x14ac:dyDescent="0.25">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row>
    <row r="80" spans="1:30" x14ac:dyDescent="0.25">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row>
    <row r="81" spans="1:30" x14ac:dyDescent="0.25">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row>
    <row r="82" spans="1:30" x14ac:dyDescent="0.25">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row>
    <row r="83" spans="1:30" x14ac:dyDescent="0.25">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row>
    <row r="84" spans="1:30" x14ac:dyDescent="0.25">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row>
    <row r="85" spans="1:30" x14ac:dyDescent="0.25">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row>
    <row r="86" spans="1:30" x14ac:dyDescent="0.25">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row>
    <row r="87" spans="1:30" x14ac:dyDescent="0.25">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row>
    <row r="88" spans="1:30" x14ac:dyDescent="0.25">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row>
    <row r="89" spans="1:30" x14ac:dyDescent="0.25">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row>
    <row r="90" spans="1:30" x14ac:dyDescent="0.25">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row>
    <row r="91" spans="1:30" x14ac:dyDescent="0.25">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row>
    <row r="92" spans="1:30" x14ac:dyDescent="0.25">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row>
    <row r="93" spans="1:30" x14ac:dyDescent="0.25">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row>
    <row r="94" spans="1:30" x14ac:dyDescent="0.25">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row>
    <row r="95" spans="1:30" x14ac:dyDescent="0.25">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row>
    <row r="96" spans="1:30" x14ac:dyDescent="0.25">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row>
    <row r="97" spans="1:30" x14ac:dyDescent="0.25">
      <c r="A97" s="63"/>
      <c r="B97" s="63"/>
      <c r="C97" s="63"/>
      <c r="D97" s="63"/>
      <c r="E97" s="63"/>
      <c r="F97" s="63"/>
      <c r="G97" s="63"/>
      <c r="H97" s="63"/>
      <c r="I97" s="63"/>
      <c r="J97" s="63"/>
      <c r="K97" s="63"/>
      <c r="L97" s="63"/>
      <c r="M97" s="63"/>
      <c r="N97" s="63"/>
      <c r="P97" s="63"/>
      <c r="Q97" s="63"/>
      <c r="R97" s="63"/>
      <c r="S97" s="63"/>
      <c r="T97" s="63"/>
      <c r="U97" s="63"/>
      <c r="V97" s="63"/>
      <c r="W97" s="63"/>
      <c r="X97" s="63"/>
      <c r="Y97" s="63"/>
      <c r="Z97" s="63"/>
      <c r="AA97" s="63"/>
      <c r="AB97" s="63"/>
      <c r="AC97" s="63"/>
      <c r="AD97" s="63"/>
    </row>
    <row r="98" spans="1:30" x14ac:dyDescent="0.25">
      <c r="A98" s="63"/>
      <c r="B98" s="63"/>
      <c r="C98" s="63"/>
      <c r="D98" s="63"/>
      <c r="E98" s="63"/>
      <c r="F98" s="63"/>
      <c r="G98" s="63"/>
      <c r="H98" s="63"/>
      <c r="I98" s="63"/>
      <c r="J98" s="63"/>
      <c r="K98" s="63"/>
      <c r="L98" s="63"/>
      <c r="M98" s="63"/>
      <c r="N98" s="63"/>
      <c r="P98" s="63"/>
      <c r="Q98" s="63"/>
      <c r="R98" s="63"/>
      <c r="S98" s="63"/>
      <c r="T98" s="63"/>
      <c r="U98" s="63"/>
      <c r="V98" s="63"/>
      <c r="W98" s="63"/>
      <c r="X98" s="63"/>
      <c r="Z98" s="63"/>
      <c r="AA98" s="63"/>
      <c r="AB98" s="63"/>
      <c r="AC98" s="63"/>
      <c r="AD98" s="63"/>
    </row>
    <row r="99" spans="1:30" x14ac:dyDescent="0.25">
      <c r="A99" s="63"/>
      <c r="B99" s="63"/>
      <c r="C99" s="63"/>
      <c r="D99" s="63"/>
      <c r="E99" s="63"/>
      <c r="F99" s="63"/>
      <c r="G99" s="63"/>
      <c r="H99" s="63"/>
      <c r="I99" s="63"/>
      <c r="J99" s="63"/>
      <c r="K99" s="63"/>
      <c r="L99" s="63"/>
      <c r="M99" s="63"/>
      <c r="N99" s="63"/>
      <c r="P99" s="63"/>
      <c r="Q99" s="63"/>
      <c r="R99" s="63"/>
      <c r="S99" s="63"/>
      <c r="T99" s="63"/>
      <c r="U99" s="63"/>
      <c r="V99" s="63"/>
      <c r="W99" s="63"/>
      <c r="X99" s="63"/>
      <c r="Z99" s="63"/>
      <c r="AA99" s="63"/>
      <c r="AB99" s="63"/>
      <c r="AC99" s="63"/>
      <c r="AD99" s="63"/>
    </row>
    <row r="100" spans="1:30" x14ac:dyDescent="0.25">
      <c r="A100" s="63"/>
      <c r="B100" s="63"/>
      <c r="C100" s="63"/>
      <c r="D100" s="63"/>
      <c r="E100" s="63"/>
      <c r="F100" s="63"/>
      <c r="G100" s="63"/>
      <c r="H100" s="63"/>
      <c r="I100" s="63"/>
      <c r="J100" s="63"/>
      <c r="K100" s="63"/>
      <c r="L100" s="63"/>
      <c r="M100" s="63"/>
      <c r="N100" s="63"/>
      <c r="P100" s="63"/>
      <c r="Q100" s="63"/>
      <c r="R100" s="63"/>
      <c r="S100" s="63"/>
      <c r="T100" s="63"/>
      <c r="U100" s="63"/>
      <c r="V100" s="63"/>
      <c r="W100" s="63"/>
      <c r="X100" s="63"/>
      <c r="Z100" s="63"/>
      <c r="AA100" s="63"/>
      <c r="AB100" s="63"/>
      <c r="AC100" s="63"/>
      <c r="AD100" s="63"/>
    </row>
    <row r="101" spans="1:30" x14ac:dyDescent="0.25">
      <c r="A101" s="63"/>
      <c r="B101" s="63"/>
      <c r="C101" s="63"/>
      <c r="D101" s="63"/>
      <c r="E101" s="63"/>
      <c r="F101" s="63"/>
      <c r="G101" s="63"/>
      <c r="H101" s="63"/>
      <c r="I101" s="63"/>
      <c r="J101" s="63"/>
      <c r="K101" s="63"/>
      <c r="L101" s="63"/>
      <c r="M101" s="63"/>
      <c r="N101" s="63"/>
      <c r="P101" s="63"/>
      <c r="Q101" s="63"/>
      <c r="R101" s="63"/>
      <c r="S101" s="63"/>
      <c r="T101" s="63"/>
      <c r="U101" s="63"/>
      <c r="V101" s="63"/>
      <c r="W101" s="63"/>
      <c r="X101" s="63"/>
      <c r="Z101" s="63"/>
      <c r="AA101" s="63"/>
      <c r="AB101" s="63"/>
      <c r="AC101" s="63"/>
      <c r="AD101" s="63"/>
    </row>
    <row r="102" spans="1:30" x14ac:dyDescent="0.25">
      <c r="A102" s="63"/>
      <c r="B102" s="63"/>
      <c r="C102" s="63"/>
      <c r="D102" s="63"/>
      <c r="E102" s="63"/>
      <c r="F102" s="63"/>
      <c r="G102" s="63"/>
      <c r="H102" s="63"/>
      <c r="I102" s="63"/>
      <c r="J102" s="63"/>
      <c r="K102" s="63"/>
      <c r="L102" s="63"/>
      <c r="M102" s="63"/>
      <c r="N102" s="63"/>
      <c r="P102" s="63"/>
      <c r="Q102" s="63"/>
      <c r="R102" s="63"/>
      <c r="S102" s="63"/>
      <c r="T102" s="63"/>
      <c r="U102" s="63"/>
      <c r="V102" s="63"/>
      <c r="W102" s="63"/>
      <c r="X102" s="63"/>
      <c r="Z102" s="63"/>
      <c r="AA102" s="63"/>
      <c r="AB102" s="63"/>
      <c r="AC102" s="63"/>
      <c r="AD102" s="63"/>
    </row>
    <row r="103" spans="1:30" x14ac:dyDescent="0.25">
      <c r="A103" s="63"/>
      <c r="B103" s="63"/>
      <c r="C103" s="63"/>
      <c r="D103" s="63"/>
      <c r="E103" s="63"/>
      <c r="F103" s="63"/>
      <c r="G103" s="63"/>
      <c r="H103" s="63"/>
      <c r="I103" s="63"/>
      <c r="J103" s="63"/>
      <c r="K103" s="63"/>
      <c r="L103" s="63"/>
      <c r="M103" s="63"/>
      <c r="N103" s="63"/>
      <c r="P103" s="63"/>
      <c r="Q103" s="63"/>
      <c r="R103" s="63"/>
      <c r="S103" s="63"/>
      <c r="T103" s="63"/>
      <c r="U103" s="63"/>
      <c r="V103" s="63"/>
      <c r="W103" s="63"/>
      <c r="X103" s="63"/>
      <c r="Z103" s="63"/>
      <c r="AA103" s="63"/>
      <c r="AB103" s="63"/>
      <c r="AC103" s="63"/>
      <c r="AD103" s="63"/>
    </row>
    <row r="104" spans="1:30" x14ac:dyDescent="0.25">
      <c r="A104" s="63"/>
      <c r="B104" s="63"/>
      <c r="C104" s="63"/>
      <c r="D104" s="63"/>
      <c r="E104" s="63"/>
      <c r="F104" s="63"/>
      <c r="G104" s="63"/>
      <c r="H104" s="63"/>
      <c r="I104" s="63"/>
      <c r="J104" s="63"/>
      <c r="K104" s="63"/>
      <c r="L104" s="63"/>
      <c r="M104" s="63"/>
      <c r="N104" s="63"/>
      <c r="P104" s="63"/>
      <c r="Q104" s="63"/>
      <c r="R104" s="63"/>
      <c r="S104" s="63"/>
      <c r="T104" s="63"/>
      <c r="U104" s="63"/>
      <c r="V104" s="63"/>
      <c r="W104" s="63"/>
      <c r="X104" s="63"/>
      <c r="Z104" s="63"/>
      <c r="AA104" s="63"/>
      <c r="AB104" s="63"/>
      <c r="AC104" s="63"/>
      <c r="AD104" s="63"/>
    </row>
    <row r="105" spans="1:30" x14ac:dyDescent="0.25">
      <c r="A105" s="63"/>
      <c r="B105" s="63"/>
      <c r="C105" s="63"/>
      <c r="D105" s="63"/>
      <c r="E105" s="63"/>
      <c r="F105" s="63"/>
      <c r="G105" s="63"/>
      <c r="H105" s="63"/>
      <c r="I105" s="63"/>
      <c r="J105" s="63"/>
      <c r="K105" s="63"/>
      <c r="L105" s="63"/>
      <c r="M105" s="63"/>
      <c r="N105" s="63"/>
      <c r="P105" s="63"/>
      <c r="Q105" s="63"/>
      <c r="R105" s="63"/>
      <c r="S105" s="63"/>
      <c r="T105" s="63"/>
      <c r="U105" s="63"/>
      <c r="V105" s="63"/>
      <c r="W105" s="63"/>
      <c r="X105" s="63"/>
      <c r="Z105" s="63"/>
      <c r="AA105" s="63"/>
      <c r="AB105" s="63"/>
      <c r="AC105" s="63"/>
      <c r="AD105" s="63"/>
    </row>
    <row r="106" spans="1:30" x14ac:dyDescent="0.25">
      <c r="A106" s="63"/>
      <c r="B106" s="63"/>
      <c r="C106" s="63"/>
      <c r="D106" s="63"/>
      <c r="E106" s="63"/>
      <c r="F106" s="63"/>
      <c r="G106" s="63"/>
      <c r="H106" s="63"/>
      <c r="I106" s="63"/>
      <c r="J106" s="63"/>
      <c r="K106" s="63"/>
      <c r="L106" s="63"/>
      <c r="M106" s="63"/>
      <c r="N106" s="63"/>
      <c r="Z106" s="63"/>
      <c r="AA106" s="63"/>
      <c r="AB106" s="63"/>
      <c r="AC106" s="63"/>
      <c r="AD106" s="63"/>
    </row>
    <row r="107" spans="1:30" x14ac:dyDescent="0.25">
      <c r="A107" s="63"/>
      <c r="B107" s="63"/>
      <c r="C107" s="63"/>
      <c r="D107" s="63"/>
      <c r="E107" s="63"/>
      <c r="F107" s="63"/>
      <c r="G107" s="63"/>
      <c r="H107" s="63"/>
      <c r="I107" s="63"/>
      <c r="J107" s="63"/>
      <c r="K107" s="63"/>
      <c r="L107" s="63"/>
      <c r="M107" s="63"/>
      <c r="N107" s="63"/>
      <c r="Z107" s="63"/>
      <c r="AA107" s="63"/>
      <c r="AB107" s="63"/>
      <c r="AC107" s="63"/>
      <c r="AD107" s="63"/>
    </row>
    <row r="108" spans="1:30" x14ac:dyDescent="0.25">
      <c r="A108" s="63"/>
      <c r="B108" s="63"/>
      <c r="C108" s="63"/>
      <c r="D108" s="63"/>
      <c r="E108" s="63"/>
      <c r="F108" s="63"/>
      <c r="G108" s="63"/>
      <c r="H108" s="63"/>
      <c r="I108" s="63"/>
      <c r="J108" s="63"/>
      <c r="K108" s="63"/>
      <c r="L108" s="63"/>
      <c r="M108" s="63"/>
      <c r="N108" s="63"/>
      <c r="Z108" s="63"/>
      <c r="AA108" s="63"/>
      <c r="AB108" s="63"/>
      <c r="AC108" s="63"/>
      <c r="AD108" s="63"/>
    </row>
    <row r="109" spans="1:30" x14ac:dyDescent="0.25">
      <c r="A109" s="63"/>
      <c r="B109" s="63"/>
      <c r="C109" s="63"/>
      <c r="D109" s="63"/>
      <c r="E109" s="63"/>
      <c r="F109" s="63"/>
      <c r="G109" s="63"/>
      <c r="H109" s="63"/>
      <c r="I109" s="63"/>
      <c r="J109" s="63"/>
      <c r="K109" s="63"/>
      <c r="L109" s="63"/>
      <c r="M109" s="63"/>
      <c r="N109" s="63"/>
      <c r="Z109" s="63"/>
      <c r="AA109" s="63"/>
      <c r="AB109" s="63"/>
      <c r="AC109" s="63"/>
      <c r="AD109" s="63"/>
    </row>
    <row r="110" spans="1:30" x14ac:dyDescent="0.25">
      <c r="A110" s="63"/>
      <c r="B110" s="63"/>
      <c r="C110" s="63"/>
      <c r="D110" s="63"/>
      <c r="E110" s="63"/>
      <c r="F110" s="63"/>
      <c r="G110" s="63"/>
      <c r="H110" s="63"/>
      <c r="I110" s="63"/>
      <c r="J110" s="63"/>
      <c r="K110" s="63"/>
      <c r="L110" s="63"/>
      <c r="M110" s="63"/>
      <c r="N110" s="63"/>
      <c r="Z110" s="63"/>
      <c r="AA110" s="63"/>
      <c r="AB110" s="63"/>
      <c r="AC110" s="63"/>
      <c r="AD110" s="63"/>
    </row>
    <row r="111" spans="1:30" x14ac:dyDescent="0.25">
      <c r="A111" s="63"/>
      <c r="B111" s="63"/>
      <c r="C111" s="63"/>
      <c r="D111" s="63"/>
      <c r="E111" s="63"/>
      <c r="F111" s="63"/>
      <c r="G111" s="63"/>
      <c r="H111" s="63"/>
      <c r="I111" s="63"/>
      <c r="J111" s="63"/>
      <c r="K111" s="63"/>
      <c r="L111" s="63"/>
      <c r="M111" s="63"/>
      <c r="N111" s="63"/>
      <c r="Z111" s="63"/>
      <c r="AA111" s="63"/>
      <c r="AB111" s="63"/>
      <c r="AC111" s="63"/>
      <c r="AD111" s="63"/>
    </row>
    <row r="112" spans="1:30" x14ac:dyDescent="0.25">
      <c r="A112" s="63"/>
      <c r="B112" s="63"/>
      <c r="C112" s="63"/>
      <c r="D112" s="63"/>
      <c r="E112" s="63"/>
      <c r="F112" s="63"/>
      <c r="G112" s="63"/>
      <c r="H112" s="63"/>
      <c r="I112" s="63"/>
      <c r="J112" s="63"/>
      <c r="K112" s="63"/>
      <c r="L112" s="63"/>
      <c r="M112" s="63"/>
      <c r="N112" s="63"/>
      <c r="Z112" s="63"/>
      <c r="AA112" s="63"/>
      <c r="AB112" s="63"/>
      <c r="AC112" s="63"/>
      <c r="AD112" s="63"/>
    </row>
    <row r="113" spans="1:30" x14ac:dyDescent="0.25">
      <c r="A113" s="63"/>
      <c r="B113" s="63"/>
      <c r="C113" s="63"/>
      <c r="D113" s="63"/>
      <c r="E113" s="63"/>
      <c r="F113" s="63"/>
      <c r="G113" s="63"/>
      <c r="H113" s="63"/>
      <c r="I113" s="63"/>
      <c r="J113" s="63"/>
      <c r="K113" s="63"/>
      <c r="L113" s="63"/>
      <c r="M113" s="63"/>
      <c r="N113" s="63"/>
      <c r="Z113" s="63"/>
      <c r="AA113" s="63"/>
      <c r="AB113" s="63"/>
      <c r="AC113" s="63"/>
      <c r="AD113" s="63"/>
    </row>
    <row r="114" spans="1:30" x14ac:dyDescent="0.25">
      <c r="A114" s="63"/>
      <c r="B114" s="63"/>
      <c r="C114" s="63"/>
      <c r="D114" s="63"/>
      <c r="E114" s="63"/>
      <c r="F114" s="63"/>
      <c r="G114" s="63"/>
      <c r="H114" s="63"/>
      <c r="I114" s="63"/>
      <c r="J114" s="63"/>
      <c r="K114" s="63"/>
      <c r="L114" s="63"/>
      <c r="M114" s="63"/>
      <c r="N114" s="63"/>
      <c r="Z114" s="63"/>
      <c r="AA114" s="63"/>
      <c r="AB114" s="63"/>
      <c r="AC114" s="63"/>
      <c r="AD114" s="63"/>
    </row>
    <row r="115" spans="1:30" x14ac:dyDescent="0.25">
      <c r="A115" s="63"/>
      <c r="B115" s="63"/>
      <c r="C115" s="63"/>
      <c r="D115" s="63"/>
      <c r="E115" s="63"/>
      <c r="F115" s="63"/>
      <c r="G115" s="63"/>
      <c r="H115" s="63"/>
      <c r="I115" s="63"/>
      <c r="J115" s="63"/>
      <c r="K115" s="63"/>
      <c r="L115" s="63"/>
      <c r="M115" s="63"/>
      <c r="N115" s="63"/>
      <c r="Z115" s="63"/>
      <c r="AA115" s="63"/>
      <c r="AB115" s="63"/>
      <c r="AC115" s="63"/>
      <c r="AD115" s="63"/>
    </row>
    <row r="116" spans="1:30" x14ac:dyDescent="0.25">
      <c r="A116" s="63"/>
      <c r="B116" s="63"/>
      <c r="C116" s="63"/>
      <c r="D116" s="63"/>
      <c r="E116" s="63"/>
      <c r="F116" s="63"/>
      <c r="G116" s="63"/>
      <c r="H116" s="63"/>
      <c r="I116" s="63"/>
      <c r="J116" s="63"/>
      <c r="K116" s="63"/>
      <c r="L116" s="63"/>
      <c r="M116" s="63"/>
      <c r="N116" s="63"/>
      <c r="Z116" s="63"/>
      <c r="AA116" s="63"/>
      <c r="AB116" s="63"/>
      <c r="AC116" s="63"/>
      <c r="AD116" s="63"/>
    </row>
    <row r="117" spans="1:30" x14ac:dyDescent="0.25">
      <c r="A117" s="63"/>
      <c r="B117" s="63"/>
      <c r="C117" s="63"/>
      <c r="D117" s="63"/>
      <c r="E117" s="63"/>
      <c r="F117" s="63"/>
      <c r="G117" s="63"/>
      <c r="H117" s="63"/>
      <c r="I117" s="63"/>
      <c r="J117" s="63"/>
      <c r="K117" s="63"/>
      <c r="L117" s="63"/>
      <c r="M117" s="63"/>
      <c r="N117" s="63"/>
      <c r="Z117" s="63"/>
      <c r="AA117" s="63"/>
      <c r="AB117" s="63"/>
      <c r="AC117" s="63"/>
      <c r="AD117" s="63"/>
    </row>
    <row r="118" spans="1:30" x14ac:dyDescent="0.25">
      <c r="A118" s="63"/>
      <c r="B118" s="63"/>
      <c r="C118" s="63"/>
      <c r="D118" s="63"/>
      <c r="E118" s="63"/>
      <c r="F118" s="63"/>
      <c r="G118" s="63"/>
      <c r="H118" s="63"/>
      <c r="I118" s="63"/>
      <c r="J118" s="63"/>
      <c r="K118" s="63"/>
      <c r="L118" s="63"/>
      <c r="M118" s="63"/>
      <c r="N118" s="63"/>
      <c r="Z118" s="63"/>
      <c r="AA118" s="63"/>
      <c r="AB118" s="63"/>
      <c r="AC118" s="63"/>
      <c r="AD118" s="63"/>
    </row>
    <row r="119" spans="1:30" x14ac:dyDescent="0.25">
      <c r="A119" s="63"/>
      <c r="B119" s="63"/>
      <c r="C119" s="63"/>
      <c r="D119" s="63"/>
      <c r="E119" s="63"/>
      <c r="F119" s="63"/>
      <c r="G119" s="63"/>
      <c r="H119" s="63"/>
      <c r="I119" s="63"/>
      <c r="J119" s="63"/>
      <c r="K119" s="63"/>
      <c r="L119" s="63"/>
      <c r="M119" s="63"/>
      <c r="N119" s="63"/>
      <c r="Z119" s="63"/>
      <c r="AA119" s="63"/>
      <c r="AB119" s="63"/>
      <c r="AC119" s="63"/>
      <c r="AD119" s="63"/>
    </row>
    <row r="120" spans="1:30" x14ac:dyDescent="0.25">
      <c r="A120" s="63"/>
      <c r="B120" s="63"/>
      <c r="C120" s="63"/>
      <c r="D120" s="63"/>
      <c r="E120" s="63"/>
      <c r="F120" s="63"/>
      <c r="G120" s="63"/>
      <c r="H120" s="63"/>
      <c r="I120" s="63"/>
      <c r="J120" s="63"/>
      <c r="K120" s="63"/>
      <c r="L120" s="63"/>
      <c r="M120" s="63"/>
      <c r="N120" s="63"/>
      <c r="Z120" s="63"/>
      <c r="AA120" s="63"/>
      <c r="AB120" s="63"/>
      <c r="AC120" s="63"/>
      <c r="AD120" s="63"/>
    </row>
    <row r="121" spans="1:30" x14ac:dyDescent="0.25">
      <c r="A121" s="63"/>
      <c r="B121" s="63"/>
      <c r="C121" s="63"/>
      <c r="D121" s="63"/>
      <c r="E121" s="63"/>
      <c r="F121" s="63"/>
      <c r="G121" s="63"/>
      <c r="H121" s="63"/>
      <c r="I121" s="63"/>
      <c r="J121" s="63"/>
      <c r="K121" s="63"/>
      <c r="L121" s="63"/>
      <c r="M121" s="63"/>
      <c r="N121" s="63"/>
      <c r="Z121" s="63"/>
      <c r="AA121" s="63"/>
      <c r="AB121" s="63"/>
      <c r="AC121" s="63"/>
      <c r="AD121" s="63"/>
    </row>
    <row r="122" spans="1:30" x14ac:dyDescent="0.25">
      <c r="A122" s="63"/>
      <c r="B122" s="63"/>
      <c r="C122" s="63"/>
      <c r="D122" s="63"/>
      <c r="E122" s="63"/>
      <c r="F122" s="63"/>
      <c r="G122" s="63"/>
      <c r="H122" s="63"/>
      <c r="I122" s="63"/>
      <c r="J122" s="63"/>
      <c r="K122" s="63"/>
      <c r="L122" s="63"/>
      <c r="M122" s="63"/>
      <c r="N122" s="63"/>
      <c r="Z122" s="63"/>
      <c r="AA122" s="63"/>
      <c r="AB122" s="63"/>
      <c r="AC122" s="63"/>
      <c r="AD122" s="63"/>
    </row>
    <row r="123" spans="1:30" x14ac:dyDescent="0.25">
      <c r="A123" s="63"/>
      <c r="B123" s="63"/>
      <c r="C123" s="63"/>
      <c r="D123" s="63"/>
      <c r="E123" s="63"/>
      <c r="F123" s="63"/>
      <c r="G123" s="63"/>
      <c r="H123" s="63"/>
      <c r="I123" s="63"/>
      <c r="J123" s="63"/>
      <c r="K123" s="63"/>
      <c r="L123" s="63"/>
      <c r="M123" s="63"/>
      <c r="N123" s="63"/>
      <c r="Z123" s="63"/>
      <c r="AA123" s="63"/>
      <c r="AB123" s="63"/>
      <c r="AC123" s="63"/>
      <c r="AD123" s="63"/>
    </row>
    <row r="124" spans="1:30" x14ac:dyDescent="0.25">
      <c r="A124" s="63"/>
      <c r="B124" s="63"/>
      <c r="C124" s="63"/>
      <c r="D124" s="63"/>
      <c r="E124" s="63"/>
      <c r="F124" s="63"/>
      <c r="G124" s="63"/>
      <c r="H124" s="63"/>
      <c r="I124" s="63"/>
      <c r="J124" s="63"/>
      <c r="K124" s="63"/>
      <c r="L124" s="63"/>
      <c r="M124" s="63"/>
      <c r="N124" s="63"/>
      <c r="Z124" s="63"/>
      <c r="AA124" s="63"/>
      <c r="AB124" s="63"/>
      <c r="AC124" s="63"/>
      <c r="AD124" s="63"/>
    </row>
    <row r="125" spans="1:30" x14ac:dyDescent="0.25">
      <c r="A125" s="63"/>
      <c r="B125" s="63"/>
      <c r="C125" s="63"/>
      <c r="D125" s="63"/>
      <c r="E125" s="63"/>
      <c r="F125" s="63"/>
      <c r="G125" s="63"/>
      <c r="H125" s="63"/>
      <c r="I125" s="63"/>
      <c r="J125" s="63"/>
      <c r="K125" s="63"/>
      <c r="L125" s="63"/>
      <c r="M125" s="63"/>
      <c r="N125" s="63"/>
      <c r="Z125" s="63"/>
      <c r="AA125" s="63"/>
      <c r="AB125" s="63"/>
      <c r="AC125" s="63"/>
      <c r="AD125" s="63"/>
    </row>
    <row r="126" spans="1:30" x14ac:dyDescent="0.25">
      <c r="A126" s="63"/>
      <c r="B126" s="63"/>
      <c r="C126" s="63"/>
      <c r="D126" s="63"/>
      <c r="E126" s="63"/>
      <c r="F126" s="63"/>
      <c r="G126" s="63"/>
      <c r="H126" s="63"/>
      <c r="I126" s="63"/>
      <c r="J126" s="63"/>
      <c r="K126" s="63"/>
      <c r="L126" s="63"/>
      <c r="M126" s="63"/>
      <c r="N126" s="63"/>
      <c r="Z126" s="63"/>
      <c r="AA126" s="63"/>
      <c r="AB126" s="63"/>
      <c r="AC126" s="63"/>
      <c r="AD126" s="63"/>
    </row>
    <row r="127" spans="1:30" x14ac:dyDescent="0.25">
      <c r="A127" s="63"/>
      <c r="B127" s="63"/>
      <c r="C127" s="63"/>
      <c r="D127" s="63"/>
      <c r="E127" s="63"/>
      <c r="F127" s="63"/>
      <c r="G127" s="63"/>
      <c r="H127" s="63"/>
      <c r="I127" s="63"/>
      <c r="J127" s="63"/>
      <c r="K127" s="63"/>
      <c r="L127" s="63"/>
      <c r="M127" s="63"/>
      <c r="N127" s="63"/>
      <c r="Z127" s="63"/>
      <c r="AA127" s="63"/>
      <c r="AB127" s="63"/>
      <c r="AC127" s="63"/>
      <c r="AD127" s="63"/>
    </row>
    <row r="128" spans="1:30" x14ac:dyDescent="0.25">
      <c r="A128" s="63"/>
      <c r="B128" s="63"/>
      <c r="C128" s="63"/>
      <c r="D128" s="63"/>
      <c r="E128" s="63"/>
      <c r="F128" s="63"/>
      <c r="G128" s="63"/>
      <c r="H128" s="63"/>
      <c r="I128" s="63"/>
      <c r="J128" s="63"/>
      <c r="K128" s="63"/>
      <c r="L128" s="63"/>
      <c r="M128" s="63"/>
      <c r="N128" s="63"/>
      <c r="Z128" s="63"/>
      <c r="AA128" s="63"/>
      <c r="AB128" s="63"/>
      <c r="AC128" s="63"/>
      <c r="AD128" s="63"/>
    </row>
    <row r="129" spans="1:30" x14ac:dyDescent="0.25">
      <c r="A129" s="63"/>
      <c r="B129" s="63"/>
      <c r="C129" s="63"/>
      <c r="D129" s="63"/>
      <c r="E129" s="63"/>
      <c r="F129" s="63"/>
      <c r="G129" s="63"/>
      <c r="H129" s="63"/>
      <c r="I129" s="63"/>
      <c r="J129" s="63"/>
      <c r="K129" s="63"/>
      <c r="L129" s="63"/>
      <c r="M129" s="63"/>
      <c r="N129" s="63"/>
      <c r="Z129" s="63"/>
      <c r="AA129" s="63"/>
      <c r="AB129" s="63"/>
      <c r="AC129" s="63"/>
      <c r="AD129" s="63"/>
    </row>
    <row r="130" spans="1:30" x14ac:dyDescent="0.25">
      <c r="A130" s="63"/>
      <c r="B130" s="63"/>
      <c r="C130" s="63"/>
      <c r="D130" s="63"/>
      <c r="E130" s="63"/>
      <c r="F130" s="63"/>
      <c r="G130" s="63"/>
      <c r="H130" s="63"/>
      <c r="I130" s="63"/>
      <c r="J130" s="63"/>
      <c r="K130" s="63"/>
      <c r="L130" s="63"/>
      <c r="M130" s="63"/>
      <c r="N130" s="63"/>
      <c r="Z130" s="63"/>
      <c r="AA130" s="63"/>
      <c r="AB130" s="63"/>
      <c r="AC130" s="63"/>
      <c r="AD130" s="63"/>
    </row>
    <row r="131" spans="1:30" x14ac:dyDescent="0.25">
      <c r="A131" s="63"/>
      <c r="B131" s="63"/>
      <c r="C131" s="63"/>
      <c r="D131" s="63"/>
      <c r="E131" s="63"/>
      <c r="F131" s="63"/>
      <c r="G131" s="63"/>
      <c r="H131" s="63"/>
      <c r="I131" s="63"/>
      <c r="J131" s="63"/>
      <c r="K131" s="63"/>
      <c r="L131" s="63"/>
      <c r="M131" s="63"/>
      <c r="N131" s="63"/>
      <c r="Z131" s="63"/>
      <c r="AA131" s="63"/>
      <c r="AB131" s="63"/>
      <c r="AC131" s="63"/>
      <c r="AD131" s="63"/>
    </row>
    <row r="132" spans="1:30" x14ac:dyDescent="0.25">
      <c r="A132" s="63"/>
      <c r="B132" s="63"/>
      <c r="C132" s="63"/>
      <c r="D132" s="63"/>
      <c r="E132" s="63"/>
      <c r="F132" s="63"/>
      <c r="G132" s="63"/>
      <c r="H132" s="63"/>
      <c r="I132" s="63"/>
      <c r="J132" s="63"/>
      <c r="K132" s="63"/>
      <c r="L132" s="63"/>
      <c r="M132" s="63"/>
      <c r="N132" s="63"/>
      <c r="Z132" s="63"/>
      <c r="AA132" s="63"/>
      <c r="AB132" s="63"/>
      <c r="AC132" s="63"/>
      <c r="AD132" s="63"/>
    </row>
    <row r="133" spans="1:30" x14ac:dyDescent="0.25">
      <c r="A133" s="63"/>
      <c r="B133" s="63"/>
      <c r="C133" s="63"/>
      <c r="D133" s="63"/>
      <c r="E133" s="63"/>
      <c r="F133" s="63"/>
      <c r="G133" s="63"/>
      <c r="H133" s="63"/>
      <c r="I133" s="63"/>
      <c r="J133" s="63"/>
      <c r="K133" s="63"/>
      <c r="L133" s="63"/>
      <c r="M133" s="63"/>
      <c r="N133" s="63"/>
      <c r="Z133" s="63"/>
      <c r="AA133" s="63"/>
      <c r="AB133" s="63"/>
      <c r="AC133" s="63"/>
      <c r="AD133" s="63"/>
    </row>
    <row r="134" spans="1:30" x14ac:dyDescent="0.25">
      <c r="A134" s="63"/>
      <c r="B134" s="63"/>
      <c r="C134" s="63"/>
      <c r="D134" s="63"/>
      <c r="E134" s="63"/>
      <c r="F134" s="63"/>
      <c r="G134" s="63"/>
      <c r="H134" s="63"/>
      <c r="I134" s="63"/>
      <c r="J134" s="63"/>
      <c r="K134" s="63"/>
      <c r="L134" s="63"/>
      <c r="M134" s="63"/>
      <c r="N134" s="63"/>
      <c r="Z134" s="63"/>
      <c r="AA134" s="63"/>
      <c r="AB134" s="63"/>
      <c r="AC134" s="63"/>
      <c r="AD134" s="63"/>
    </row>
    <row r="135" spans="1:30" x14ac:dyDescent="0.25">
      <c r="A135" s="63"/>
      <c r="B135" s="63"/>
      <c r="C135" s="63"/>
      <c r="D135" s="63"/>
      <c r="E135" s="63"/>
      <c r="F135" s="63"/>
      <c r="G135" s="63"/>
      <c r="H135" s="63"/>
      <c r="I135" s="63"/>
      <c r="J135" s="63"/>
      <c r="K135" s="63"/>
      <c r="L135" s="63"/>
      <c r="M135" s="63"/>
      <c r="N135" s="63"/>
      <c r="Z135" s="63"/>
      <c r="AA135" s="63"/>
      <c r="AB135" s="63"/>
      <c r="AC135" s="63"/>
      <c r="AD135" s="63"/>
    </row>
    <row r="136" spans="1:30" x14ac:dyDescent="0.25">
      <c r="A136" s="63"/>
      <c r="B136" s="63"/>
      <c r="C136" s="63"/>
      <c r="D136" s="63"/>
      <c r="E136" s="63"/>
      <c r="F136" s="63"/>
      <c r="G136" s="63"/>
      <c r="H136" s="63"/>
      <c r="I136" s="63"/>
      <c r="J136" s="63"/>
      <c r="K136" s="63"/>
      <c r="L136" s="63"/>
      <c r="M136" s="63"/>
      <c r="N136" s="63"/>
      <c r="Z136" s="63"/>
      <c r="AA136" s="63"/>
      <c r="AB136" s="63"/>
      <c r="AC136" s="63"/>
      <c r="AD136" s="63"/>
    </row>
    <row r="137" spans="1:30" x14ac:dyDescent="0.25">
      <c r="A137" s="63"/>
      <c r="B137" s="63"/>
      <c r="C137" s="63"/>
      <c r="D137" s="63"/>
      <c r="E137" s="63"/>
      <c r="F137" s="63"/>
      <c r="G137" s="63"/>
      <c r="H137" s="63"/>
      <c r="I137" s="63"/>
      <c r="J137" s="63"/>
      <c r="K137" s="63"/>
      <c r="L137" s="63"/>
      <c r="M137" s="63"/>
      <c r="N137" s="63"/>
      <c r="Z137" s="63"/>
      <c r="AA137" s="63"/>
      <c r="AB137" s="63"/>
      <c r="AC137" s="63"/>
      <c r="AD137" s="63"/>
    </row>
    <row r="138" spans="1:30" x14ac:dyDescent="0.25">
      <c r="A138" s="63"/>
      <c r="B138" s="63"/>
      <c r="C138" s="63"/>
      <c r="D138" s="63"/>
      <c r="E138" s="63"/>
      <c r="F138" s="63"/>
      <c r="G138" s="63"/>
      <c r="H138" s="63"/>
      <c r="I138" s="63"/>
      <c r="J138" s="63"/>
      <c r="K138" s="63"/>
      <c r="L138" s="63"/>
      <c r="M138" s="63"/>
      <c r="N138" s="63"/>
      <c r="Z138" s="63"/>
      <c r="AA138" s="63"/>
      <c r="AB138" s="63"/>
      <c r="AC138" s="63"/>
      <c r="AD138" s="63"/>
    </row>
    <row r="139" spans="1:30" x14ac:dyDescent="0.25">
      <c r="A139" s="63"/>
      <c r="B139" s="63"/>
      <c r="C139" s="63"/>
      <c r="D139" s="63"/>
      <c r="E139" s="63"/>
      <c r="F139" s="63"/>
      <c r="G139" s="63"/>
      <c r="H139" s="63"/>
      <c r="I139" s="63"/>
      <c r="J139" s="63"/>
      <c r="K139" s="63"/>
      <c r="L139" s="63"/>
      <c r="M139" s="63"/>
      <c r="N139" s="63"/>
      <c r="Z139" s="63"/>
      <c r="AA139" s="63"/>
      <c r="AB139" s="63"/>
      <c r="AC139" s="63"/>
      <c r="AD139" s="63"/>
    </row>
    <row r="140" spans="1:30" x14ac:dyDescent="0.25">
      <c r="A140" s="63"/>
      <c r="B140" s="63"/>
      <c r="C140" s="63"/>
      <c r="D140" s="63"/>
      <c r="E140" s="63"/>
      <c r="F140" s="63"/>
      <c r="G140" s="63"/>
      <c r="H140" s="63"/>
      <c r="I140" s="63"/>
      <c r="J140" s="63"/>
      <c r="K140" s="63"/>
      <c r="L140" s="63"/>
      <c r="M140" s="63"/>
      <c r="N140" s="63"/>
      <c r="Z140" s="63"/>
      <c r="AA140" s="63"/>
      <c r="AB140" s="63"/>
      <c r="AC140" s="63"/>
      <c r="AD140" s="63"/>
    </row>
    <row r="141" spans="1:30" x14ac:dyDescent="0.25">
      <c r="A141" s="63"/>
      <c r="B141" s="63"/>
      <c r="C141" s="63"/>
      <c r="D141" s="63"/>
      <c r="E141" s="63"/>
      <c r="F141" s="63"/>
      <c r="G141" s="63"/>
      <c r="H141" s="63"/>
      <c r="I141" s="63"/>
      <c r="J141" s="63"/>
      <c r="K141" s="63"/>
      <c r="L141" s="63"/>
      <c r="M141" s="63"/>
      <c r="N141" s="63"/>
      <c r="Z141" s="63"/>
      <c r="AA141" s="63"/>
      <c r="AB141" s="63"/>
      <c r="AC141" s="63"/>
      <c r="AD141" s="63"/>
    </row>
    <row r="142" spans="1:30" x14ac:dyDescent="0.25">
      <c r="A142" s="63"/>
      <c r="B142" s="63"/>
      <c r="C142" s="63"/>
      <c r="D142" s="63"/>
      <c r="E142" s="63"/>
      <c r="F142" s="63"/>
      <c r="G142" s="63"/>
      <c r="H142" s="63"/>
      <c r="I142" s="63"/>
      <c r="J142" s="63"/>
      <c r="K142" s="63"/>
      <c r="L142" s="63"/>
      <c r="M142" s="63"/>
      <c r="N142" s="63"/>
      <c r="Z142" s="63"/>
      <c r="AA142" s="63"/>
      <c r="AB142" s="63"/>
      <c r="AC142" s="63"/>
      <c r="AD142" s="63"/>
    </row>
    <row r="143" spans="1:30" x14ac:dyDescent="0.25">
      <c r="A143" s="63"/>
      <c r="B143" s="63"/>
      <c r="C143" s="63"/>
      <c r="D143" s="63"/>
      <c r="E143" s="63"/>
      <c r="F143" s="63"/>
      <c r="G143" s="63"/>
      <c r="H143" s="63"/>
      <c r="I143" s="63"/>
      <c r="J143" s="63"/>
      <c r="K143" s="63"/>
      <c r="L143" s="63"/>
      <c r="M143" s="63"/>
      <c r="N143" s="63"/>
      <c r="Z143" s="63"/>
      <c r="AA143" s="63"/>
      <c r="AB143" s="63"/>
      <c r="AC143" s="63"/>
      <c r="AD143" s="63"/>
    </row>
    <row r="144" spans="1:30" x14ac:dyDescent="0.25">
      <c r="Z144" s="63"/>
      <c r="AA144" s="63"/>
      <c r="AB144" s="63"/>
      <c r="AC144" s="63"/>
      <c r="AD144" s="63"/>
    </row>
  </sheetData>
  <dataValidations count="1">
    <dataValidation type="list" allowBlank="1" showInputMessage="1" showErrorMessage="1" sqref="E3" xr:uid="{04DEB595-CD8A-4109-9B0C-64469A0F2103}">
      <formula1>"Class B, Class A, Company, Consolidated"</formula1>
    </dataValidation>
  </dataValidations>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47F5E-0C17-4FC0-B73B-9DD646C5A0A4}">
  <dimension ref="A1:AG80"/>
  <sheetViews>
    <sheetView showGridLines="0" zoomScaleNormal="100" workbookViewId="0">
      <pane ySplit="12" topLeftCell="A13" activePane="bottomLeft" state="frozen"/>
      <selection activeCell="M106" sqref="M106"/>
      <selection pane="bottomLeft" activeCell="D6" sqref="D6"/>
    </sheetView>
  </sheetViews>
  <sheetFormatPr defaultRowHeight="13.2" x14ac:dyDescent="0.25"/>
  <cols>
    <col min="1" max="1" width="1.77734375" style="2" customWidth="1"/>
    <col min="2" max="2" width="2.21875" style="2" customWidth="1"/>
    <col min="3" max="3" width="24.21875" style="2" bestFit="1" customWidth="1"/>
    <col min="4" max="15" width="13.109375" style="2" customWidth="1"/>
    <col min="16" max="16" width="1.109375" style="2" customWidth="1"/>
    <col min="17" max="24" width="16.109375" style="2" customWidth="1"/>
    <col min="25" max="16384" width="8.88671875" style="2"/>
  </cols>
  <sheetData>
    <row r="1" spans="1:32" x14ac:dyDescent="0.25">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row>
    <row r="2" spans="1:32" ht="20.100000000000001" customHeight="1" x14ac:dyDescent="0.25">
      <c r="A2" s="63"/>
      <c r="B2" s="144" t="s">
        <v>390</v>
      </c>
      <c r="C2" s="64"/>
      <c r="D2" s="64"/>
      <c r="E2" s="64"/>
      <c r="F2" s="64"/>
      <c r="G2" s="64"/>
      <c r="H2" s="64"/>
      <c r="I2" s="64"/>
      <c r="J2" s="64"/>
      <c r="K2" s="64"/>
      <c r="L2" s="64"/>
      <c r="M2" s="64"/>
      <c r="N2" s="64"/>
      <c r="O2" s="64"/>
      <c r="P2" s="65"/>
      <c r="Q2" s="63"/>
      <c r="R2" s="63"/>
      <c r="S2" s="63"/>
      <c r="T2" s="63"/>
      <c r="U2" s="63"/>
      <c r="V2" s="63"/>
      <c r="W2" s="63"/>
      <c r="X2" s="63"/>
      <c r="Y2" s="63"/>
      <c r="Z2" s="63"/>
      <c r="AA2" s="63"/>
      <c r="AB2" s="63"/>
      <c r="AC2" s="63"/>
      <c r="AD2" s="63"/>
      <c r="AE2" s="63"/>
      <c r="AF2" s="63"/>
    </row>
    <row r="3" spans="1:32" ht="16.2" customHeight="1" x14ac:dyDescent="0.25">
      <c r="A3" s="63"/>
      <c r="B3" s="145" t="str" cm="1">
        <f t="array" aca="1" ref="B3" ca="1">MID(CELL("filename",A1),FIND("]",CELL("filename",A1))+1,255)</f>
        <v>Trending P&amp;L</v>
      </c>
      <c r="C3" s="66"/>
      <c r="D3" s="66"/>
      <c r="E3" s="66"/>
      <c r="F3" s="66"/>
      <c r="G3" s="66"/>
      <c r="H3" s="66"/>
      <c r="I3" s="66"/>
      <c r="J3" s="66"/>
      <c r="K3" s="66"/>
      <c r="L3" s="66"/>
      <c r="M3" s="66"/>
      <c r="N3" s="66"/>
      <c r="O3" s="66"/>
      <c r="P3" s="67"/>
      <c r="Q3" s="63"/>
      <c r="R3" s="63"/>
      <c r="S3" s="63"/>
      <c r="T3" s="63"/>
      <c r="U3" s="63"/>
      <c r="V3" s="63"/>
      <c r="W3" s="63"/>
      <c r="X3" s="63"/>
      <c r="Y3" s="63"/>
      <c r="Z3" s="63"/>
      <c r="AA3" s="63"/>
      <c r="AB3" s="63"/>
      <c r="AC3" s="63"/>
      <c r="AD3" s="63"/>
      <c r="AE3" s="63"/>
      <c r="AF3" s="63"/>
    </row>
    <row r="4" spans="1:32" ht="5.4" customHeight="1" x14ac:dyDescent="0.25">
      <c r="A4" s="63"/>
      <c r="B4" s="68"/>
      <c r="C4" s="69"/>
      <c r="D4" s="69"/>
      <c r="E4" s="69"/>
      <c r="F4" s="69"/>
      <c r="G4" s="69"/>
      <c r="H4" s="69"/>
      <c r="I4" s="69"/>
      <c r="J4" s="69"/>
      <c r="K4" s="69"/>
      <c r="L4" s="69"/>
      <c r="M4" s="69"/>
      <c r="N4" s="69"/>
      <c r="O4" s="69"/>
      <c r="P4" s="70"/>
      <c r="Q4" s="63"/>
      <c r="R4" s="63"/>
      <c r="S4" s="63"/>
      <c r="T4" s="63"/>
      <c r="U4" s="63"/>
      <c r="V4" s="63"/>
      <c r="W4" s="63"/>
      <c r="X4" s="63"/>
      <c r="Y4" s="63"/>
      <c r="Z4" s="63"/>
      <c r="AA4" s="63"/>
      <c r="AB4" s="63"/>
      <c r="AC4" s="63"/>
      <c r="AD4" s="63"/>
      <c r="AE4" s="63"/>
      <c r="AF4" s="63"/>
    </row>
    <row r="5" spans="1:32" x14ac:dyDescent="0.25">
      <c r="A5" s="63"/>
      <c r="B5" s="68"/>
      <c r="C5" s="2" t="s">
        <v>369</v>
      </c>
      <c r="D5" s="200">
        <f>'Date Mapping'!S1</f>
        <v>46112</v>
      </c>
      <c r="E5" s="83"/>
      <c r="P5" s="74"/>
      <c r="Q5" s="63"/>
      <c r="R5" s="63"/>
      <c r="S5" s="63"/>
      <c r="T5" s="63"/>
      <c r="U5" s="63"/>
      <c r="V5" s="63"/>
      <c r="W5" s="63"/>
      <c r="X5" s="63"/>
      <c r="Y5" s="63"/>
      <c r="Z5" s="63"/>
      <c r="AA5" s="63"/>
      <c r="AB5" s="63"/>
      <c r="AC5" s="63"/>
      <c r="AD5" s="63"/>
      <c r="AE5" s="63"/>
      <c r="AF5" s="63"/>
    </row>
    <row r="6" spans="1:32" x14ac:dyDescent="0.25">
      <c r="A6" s="63"/>
      <c r="B6" s="68"/>
      <c r="C6" s="2" t="s">
        <v>249</v>
      </c>
      <c r="D6" s="84" t="s">
        <v>370</v>
      </c>
      <c r="E6" s="85" t="s">
        <v>371</v>
      </c>
      <c r="F6" s="83"/>
      <c r="G6" s="83"/>
      <c r="H6" s="83"/>
      <c r="I6" s="83"/>
      <c r="J6" s="83"/>
      <c r="K6" s="83"/>
      <c r="L6" s="83"/>
      <c r="M6" s="83"/>
      <c r="N6" s="83"/>
      <c r="O6" s="83"/>
      <c r="P6" s="74"/>
      <c r="Q6" s="63"/>
      <c r="R6" s="63"/>
      <c r="S6" s="63"/>
      <c r="T6" s="63"/>
      <c r="U6" s="63"/>
      <c r="V6" s="63"/>
      <c r="W6" s="63"/>
      <c r="X6" s="63"/>
      <c r="Y6" s="63"/>
      <c r="Z6" s="63"/>
      <c r="AA6" s="63"/>
      <c r="AB6" s="63"/>
      <c r="AC6" s="63"/>
      <c r="AD6" s="63"/>
      <c r="AE6" s="63"/>
      <c r="AF6" s="63"/>
    </row>
    <row r="7" spans="1:32" ht="2.4" customHeight="1" x14ac:dyDescent="0.25">
      <c r="A7" s="63"/>
      <c r="B7" s="68"/>
      <c r="E7" s="83"/>
      <c r="F7" s="83"/>
      <c r="G7" s="83"/>
      <c r="H7" s="83"/>
      <c r="I7" s="83"/>
      <c r="J7" s="83"/>
      <c r="K7" s="83"/>
      <c r="L7" s="83"/>
      <c r="M7" s="83"/>
      <c r="N7" s="83"/>
      <c r="O7" s="83"/>
      <c r="P7" s="74"/>
      <c r="Q7" s="63"/>
      <c r="R7" s="63"/>
      <c r="S7" s="63"/>
      <c r="T7" s="63"/>
      <c r="U7" s="63"/>
      <c r="V7" s="63"/>
      <c r="W7" s="63"/>
      <c r="X7" s="63"/>
      <c r="Y7" s="63"/>
      <c r="Z7" s="63"/>
      <c r="AA7" s="63"/>
      <c r="AB7" s="63"/>
      <c r="AC7" s="63"/>
      <c r="AD7" s="63"/>
      <c r="AE7" s="63"/>
      <c r="AF7" s="63"/>
    </row>
    <row r="8" spans="1:32" x14ac:dyDescent="0.25">
      <c r="A8" s="63"/>
      <c r="B8" s="68"/>
      <c r="P8" s="74"/>
      <c r="Q8" s="63"/>
      <c r="R8" s="63"/>
      <c r="S8" s="63"/>
      <c r="T8" s="63"/>
      <c r="U8" s="63"/>
      <c r="V8" s="63"/>
      <c r="W8" s="63"/>
      <c r="X8" s="63"/>
      <c r="Y8" s="63"/>
      <c r="Z8" s="63"/>
      <c r="AA8" s="63"/>
      <c r="AB8" s="63"/>
      <c r="AC8" s="63"/>
      <c r="AD8" s="63"/>
      <c r="AE8" s="63"/>
      <c r="AF8" s="63"/>
    </row>
    <row r="9" spans="1:32" ht="7.95" customHeight="1" x14ac:dyDescent="0.25">
      <c r="A9" s="63"/>
      <c r="B9" s="75"/>
      <c r="C9" s="86"/>
      <c r="D9" s="86"/>
      <c r="E9" s="86"/>
      <c r="F9" s="86"/>
      <c r="G9" s="86"/>
      <c r="H9" s="86"/>
      <c r="I9" s="86"/>
      <c r="J9" s="86"/>
      <c r="K9" s="86"/>
      <c r="L9" s="86"/>
      <c r="M9" s="86"/>
      <c r="N9" s="86"/>
      <c r="O9" s="86"/>
      <c r="P9" s="76"/>
      <c r="Q9" s="63"/>
      <c r="R9" s="63"/>
      <c r="S9" s="63"/>
      <c r="T9" s="63"/>
      <c r="U9" s="63"/>
      <c r="V9" s="63"/>
      <c r="W9" s="63"/>
      <c r="X9" s="63"/>
      <c r="Y9" s="63"/>
      <c r="Z9" s="63"/>
      <c r="AA9" s="63"/>
      <c r="AB9" s="63"/>
      <c r="AC9" s="63"/>
      <c r="AD9" s="63"/>
      <c r="AE9" s="63"/>
      <c r="AF9" s="63"/>
    </row>
    <row r="10" spans="1:32" ht="15.6" x14ac:dyDescent="0.3">
      <c r="A10" s="63"/>
      <c r="B10" s="71"/>
      <c r="C10" s="72" t="str" cm="1">
        <f t="array" aca="1" ref="C10" ca="1">MID(CELL("filename",A1),FIND("]",CELL("filename",A1))+1,255)</f>
        <v>Trending P&amp;L</v>
      </c>
      <c r="D10" s="73"/>
      <c r="E10" s="73"/>
      <c r="F10" s="73"/>
      <c r="G10" s="73"/>
      <c r="H10" s="73"/>
      <c r="I10" s="73"/>
      <c r="J10" s="73"/>
      <c r="K10" s="73"/>
      <c r="L10" s="73"/>
      <c r="M10" s="73"/>
      <c r="N10" s="73"/>
      <c r="O10" s="73"/>
      <c r="P10" s="77"/>
      <c r="Q10" s="63"/>
      <c r="R10" s="63"/>
      <c r="S10" s="63"/>
      <c r="T10" s="63"/>
      <c r="U10" s="63"/>
      <c r="V10" s="63"/>
      <c r="W10" s="63"/>
      <c r="X10" s="63"/>
      <c r="Y10" s="63"/>
      <c r="Z10" s="63"/>
      <c r="AA10" s="63"/>
      <c r="AB10" s="63"/>
      <c r="AC10" s="63"/>
      <c r="AD10" s="63"/>
      <c r="AE10" s="63"/>
      <c r="AF10" s="63"/>
    </row>
    <row r="11" spans="1:32" ht="7.95" customHeight="1" x14ac:dyDescent="0.25">
      <c r="A11" s="63"/>
      <c r="B11" s="68"/>
      <c r="P11" s="74"/>
      <c r="Q11" s="63"/>
      <c r="R11" s="63"/>
      <c r="S11" s="63"/>
      <c r="T11" s="63"/>
      <c r="U11" s="63"/>
      <c r="V11" s="63"/>
      <c r="W11" s="63"/>
      <c r="X11" s="63"/>
      <c r="Y11" s="63"/>
      <c r="Z11" s="63"/>
      <c r="AA11" s="63"/>
      <c r="AB11" s="63"/>
      <c r="AC11" s="63"/>
      <c r="AD11" s="63"/>
      <c r="AE11" s="63"/>
      <c r="AF11" s="63"/>
    </row>
    <row r="12" spans="1:32" x14ac:dyDescent="0.25">
      <c r="A12" s="63"/>
      <c r="B12" s="68"/>
      <c r="D12" s="87">
        <f>D5</f>
        <v>46112</v>
      </c>
      <c r="E12" s="87">
        <f t="shared" ref="E12:O12" si="0">EOMONTH(D12,-1)</f>
        <v>46081</v>
      </c>
      <c r="F12" s="87">
        <f t="shared" si="0"/>
        <v>46053</v>
      </c>
      <c r="G12" s="87">
        <f t="shared" si="0"/>
        <v>46022</v>
      </c>
      <c r="H12" s="87">
        <f t="shared" si="0"/>
        <v>45991</v>
      </c>
      <c r="I12" s="87">
        <f t="shared" si="0"/>
        <v>45961</v>
      </c>
      <c r="J12" s="87">
        <f t="shared" si="0"/>
        <v>45930</v>
      </c>
      <c r="K12" s="87">
        <f t="shared" si="0"/>
        <v>45900</v>
      </c>
      <c r="L12" s="87">
        <f t="shared" si="0"/>
        <v>45869</v>
      </c>
      <c r="M12" s="87">
        <f t="shared" si="0"/>
        <v>45838</v>
      </c>
      <c r="N12" s="87">
        <f t="shared" si="0"/>
        <v>45808</v>
      </c>
      <c r="O12" s="87">
        <f t="shared" si="0"/>
        <v>45777</v>
      </c>
      <c r="P12" s="74"/>
      <c r="Q12" s="63"/>
      <c r="R12" s="63"/>
      <c r="S12" s="63"/>
      <c r="T12" s="63"/>
      <c r="U12" s="63"/>
      <c r="V12" s="63"/>
      <c r="W12" s="63"/>
      <c r="X12" s="63"/>
      <c r="Y12" s="63"/>
      <c r="Z12" s="63"/>
      <c r="AA12" s="63"/>
      <c r="AB12" s="63"/>
      <c r="AC12" s="63"/>
      <c r="AD12" s="63"/>
      <c r="AE12" s="63"/>
      <c r="AF12" s="63"/>
    </row>
    <row r="13" spans="1:32" ht="3.6" customHeight="1" x14ac:dyDescent="0.25">
      <c r="A13" s="63"/>
      <c r="B13" s="68"/>
      <c r="C13" s="88"/>
      <c r="D13" s="146"/>
      <c r="E13" s="146"/>
      <c r="F13" s="146"/>
      <c r="G13" s="146"/>
      <c r="H13" s="146"/>
      <c r="I13" s="146"/>
      <c r="J13" s="146"/>
      <c r="K13" s="146"/>
      <c r="L13" s="146"/>
      <c r="M13" s="146"/>
      <c r="N13" s="146"/>
      <c r="O13" s="146"/>
      <c r="P13" s="74"/>
      <c r="Q13" s="63"/>
      <c r="R13" s="63"/>
      <c r="S13" s="63"/>
      <c r="T13" s="63"/>
      <c r="U13" s="63"/>
      <c r="V13" s="63"/>
      <c r="W13" s="63"/>
      <c r="X13" s="63"/>
      <c r="Y13" s="63"/>
      <c r="Z13" s="63"/>
      <c r="AA13" s="63"/>
      <c r="AB13" s="63"/>
      <c r="AC13" s="63"/>
      <c r="AD13" s="63"/>
      <c r="AE13" s="63"/>
      <c r="AF13" s="63"/>
    </row>
    <row r="14" spans="1:32" x14ac:dyDescent="0.25">
      <c r="A14" s="63"/>
      <c r="B14" s="68"/>
      <c r="C14" s="89" t="s">
        <v>208</v>
      </c>
      <c r="D14" s="90"/>
      <c r="E14" s="91"/>
      <c r="F14" s="91"/>
      <c r="G14" s="91"/>
      <c r="H14" s="91"/>
      <c r="I14" s="91"/>
      <c r="J14" s="91"/>
      <c r="K14" s="91"/>
      <c r="L14" s="91"/>
      <c r="M14" s="91"/>
      <c r="N14" s="91"/>
      <c r="O14" s="92"/>
      <c r="P14" s="74"/>
      <c r="Q14" s="63"/>
      <c r="R14" s="63"/>
      <c r="S14" s="63"/>
      <c r="T14" s="63"/>
      <c r="U14" s="63"/>
      <c r="V14" s="63"/>
      <c r="W14" s="63"/>
      <c r="X14" s="63"/>
      <c r="Y14" s="63"/>
      <c r="Z14" s="63"/>
      <c r="AA14" s="63"/>
      <c r="AB14" s="63"/>
      <c r="AC14" s="63"/>
      <c r="AD14" s="63"/>
      <c r="AE14" s="63"/>
      <c r="AF14" s="63"/>
    </row>
    <row r="15" spans="1:32" x14ac:dyDescent="0.25">
      <c r="A15" s="63"/>
      <c r="B15" s="68"/>
      <c r="C15" s="80" t="s">
        <v>492</v>
      </c>
      <c r="D15" s="141">
        <f>IF($D$6="Consolidated",SUMIFS('IS GL Summary'!$F:$F,'IS GL Summary'!$B:$B,D$12,'IS GL Summary'!$G:$G,'Trending P&amp;L'!$C15),SUMIFS('IS GL Summary'!$F:$F,'IS GL Summary'!$B:$B,D$12,'IS GL Summary'!$G:$G,'Trending P&amp;L'!$C15,'IS GL Summary'!$E:$E,$D$6))</f>
        <v>81007.69</v>
      </c>
      <c r="E15" s="142">
        <f>IF($D$6="Consolidated",SUMIFS('IS GL Summary'!$F:$F,'IS GL Summary'!$B:$B,E$12,'IS GL Summary'!$G:$G,'Trending P&amp;L'!$C15),SUMIFS('IS GL Summary'!$F:$F,'IS GL Summary'!$B:$B,E$12,'IS GL Summary'!$G:$G,'Trending P&amp;L'!$C15,'IS GL Summary'!$E:$E,$D$6))</f>
        <v>112214.22</v>
      </c>
      <c r="F15" s="142">
        <f>IF($D$6="Consolidated",SUMIFS('IS GL Summary'!$F:$F,'IS GL Summary'!$B:$B,F$12,'IS GL Summary'!$G:$G,'Trending P&amp;L'!$C15),SUMIFS('IS GL Summary'!$F:$F,'IS GL Summary'!$B:$B,F$12,'IS GL Summary'!$G:$G,'Trending P&amp;L'!$C15,'IS GL Summary'!$E:$E,$D$6))</f>
        <v>125841.72</v>
      </c>
      <c r="G15" s="142">
        <f>IF($D$6="Consolidated",SUMIFS('IS GL Summary'!$F:$F,'IS GL Summary'!$B:$B,G$12,'IS GL Summary'!$G:$G,'Trending P&amp;L'!$C15),SUMIFS('IS GL Summary'!$F:$F,'IS GL Summary'!$B:$B,G$12,'IS GL Summary'!$G:$G,'Trending P&amp;L'!$C15,'IS GL Summary'!$E:$E,$D$6))</f>
        <v>121685.44</v>
      </c>
      <c r="H15" s="142">
        <f>IF($D$6="Consolidated",SUMIFS('IS GL Summary'!$F:$F,'IS GL Summary'!$B:$B,H$12,'IS GL Summary'!$G:$G,'Trending P&amp;L'!$C15),SUMIFS('IS GL Summary'!$F:$F,'IS GL Summary'!$B:$B,H$12,'IS GL Summary'!$G:$G,'Trending P&amp;L'!$C15,'IS GL Summary'!$E:$E,$D$6))</f>
        <v>184380.29</v>
      </c>
      <c r="I15" s="142">
        <f>IF($D$6="Consolidated",SUMIFS('IS GL Summary'!$F:$F,'IS GL Summary'!$B:$B,I$12,'IS GL Summary'!$G:$G,'Trending P&amp;L'!$C15),SUMIFS('IS GL Summary'!$F:$F,'IS GL Summary'!$B:$B,I$12,'IS GL Summary'!$G:$G,'Trending P&amp;L'!$C15,'IS GL Summary'!$E:$E,$D$6))</f>
        <v>127818.39</v>
      </c>
      <c r="J15" s="142">
        <f>IF($D$6="Consolidated",SUMIFS('IS GL Summary'!$F:$F,'IS GL Summary'!$B:$B,J$12,'IS GL Summary'!$G:$G,'Trending P&amp;L'!$C15),SUMIFS('IS GL Summary'!$F:$F,'IS GL Summary'!$B:$B,J$12,'IS GL Summary'!$G:$G,'Trending P&amp;L'!$C15,'IS GL Summary'!$E:$E,$D$6))</f>
        <v>114659.44</v>
      </c>
      <c r="K15" s="142">
        <f>IF($D$6="Consolidated",SUMIFS('IS GL Summary'!$F:$F,'IS GL Summary'!$B:$B,K$12,'IS GL Summary'!$G:$G,'Trending P&amp;L'!$C15),SUMIFS('IS GL Summary'!$F:$F,'IS GL Summary'!$B:$B,K$12,'IS GL Summary'!$G:$G,'Trending P&amp;L'!$C15,'IS GL Summary'!$E:$E,$D$6))</f>
        <v>110728.92</v>
      </c>
      <c r="L15" s="142">
        <f>IF($D$6="Consolidated",SUMIFS('IS GL Summary'!$F:$F,'IS GL Summary'!$B:$B,L$12,'IS GL Summary'!$G:$G,'Trending P&amp;L'!$C15),SUMIFS('IS GL Summary'!$F:$F,'IS GL Summary'!$B:$B,L$12,'IS GL Summary'!$G:$G,'Trending P&amp;L'!$C15,'IS GL Summary'!$E:$E,$D$6))</f>
        <v>60342.11</v>
      </c>
      <c r="M15" s="142">
        <f>IF($D$6="Consolidated",SUMIFS('IS GL Summary'!$F:$F,'IS GL Summary'!$B:$B,M$12,'IS GL Summary'!$G:$G,'Trending P&amp;L'!$C15),SUMIFS('IS GL Summary'!$F:$F,'IS GL Summary'!$B:$B,M$12,'IS GL Summary'!$G:$G,'Trending P&amp;L'!$C15,'IS GL Summary'!$E:$E,$D$6))</f>
        <v>95266.5</v>
      </c>
      <c r="N15" s="142">
        <f>IF($D$6="Consolidated",SUMIFS('IS GL Summary'!$F:$F,'IS GL Summary'!$B:$B,N$12,'IS GL Summary'!$G:$G,'Trending P&amp;L'!$C15),SUMIFS('IS GL Summary'!$F:$F,'IS GL Summary'!$B:$B,N$12,'IS GL Summary'!$G:$G,'Trending P&amp;L'!$C15,'IS GL Summary'!$E:$E,$D$6))</f>
        <v>122217.81</v>
      </c>
      <c r="O15" s="143">
        <f>IF($D$6="Consolidated",SUMIFS('IS GL Summary'!$F:$F,'IS GL Summary'!$B:$B,O$12,'IS GL Summary'!$G:$G,'Trending P&amp;L'!$C15),SUMIFS('IS GL Summary'!$F:$F,'IS GL Summary'!$B:$B,O$12,'IS GL Summary'!$G:$G,'Trending P&amp;L'!$C15,'IS GL Summary'!$E:$E,$D$6))</f>
        <v>145409.42000000001</v>
      </c>
      <c r="P15" s="74"/>
      <c r="Q15" s="63"/>
      <c r="R15" s="63"/>
      <c r="S15" s="63"/>
      <c r="T15" s="63"/>
      <c r="U15" s="63"/>
      <c r="V15" s="63"/>
      <c r="W15" s="63"/>
      <c r="X15" s="63"/>
      <c r="Y15" s="63"/>
      <c r="Z15" s="63"/>
      <c r="AA15" s="63"/>
      <c r="AB15" s="63"/>
      <c r="AC15" s="63"/>
      <c r="AD15" s="63"/>
      <c r="AE15" s="63"/>
      <c r="AF15" s="63"/>
    </row>
    <row r="16" spans="1:32" x14ac:dyDescent="0.25">
      <c r="A16" s="63"/>
      <c r="B16" s="68"/>
      <c r="C16" s="80" t="s">
        <v>491</v>
      </c>
      <c r="D16" s="141">
        <f>IF($D$6="Consolidated",SUMIFS('IS GL Summary'!$F:$F,'IS GL Summary'!$B:$B,D$12,'IS GL Summary'!$G:$G,'Trending P&amp;L'!$C16),SUMIFS('IS GL Summary'!$F:$F,'IS GL Summary'!$B:$B,D$12,'IS GL Summary'!$G:$G,'Trending P&amp;L'!$C16,'IS GL Summary'!$E:$E,$D$6))</f>
        <v>50475.45</v>
      </c>
      <c r="E16" s="142">
        <f>IF($D$6="Consolidated",SUMIFS('IS GL Summary'!$F:$F,'IS GL Summary'!$B:$B,E$12,'IS GL Summary'!$G:$G,'Trending P&amp;L'!$C16),SUMIFS('IS GL Summary'!$F:$F,'IS GL Summary'!$B:$B,E$12,'IS GL Summary'!$G:$G,'Trending P&amp;L'!$C16,'IS GL Summary'!$E:$E,$D$6))</f>
        <v>36917.229999999996</v>
      </c>
      <c r="F16" s="142">
        <f>IF($D$6="Consolidated",SUMIFS('IS GL Summary'!$F:$F,'IS GL Summary'!$B:$B,F$12,'IS GL Summary'!$G:$G,'Trending P&amp;L'!$C16),SUMIFS('IS GL Summary'!$F:$F,'IS GL Summary'!$B:$B,F$12,'IS GL Summary'!$G:$G,'Trending P&amp;L'!$C16,'IS GL Summary'!$E:$E,$D$6))</f>
        <v>53427.11</v>
      </c>
      <c r="G16" s="142">
        <f>IF($D$6="Consolidated",SUMIFS('IS GL Summary'!$F:$F,'IS GL Summary'!$B:$B,G$12,'IS GL Summary'!$G:$G,'Trending P&amp;L'!$C16),SUMIFS('IS GL Summary'!$F:$F,'IS GL Summary'!$B:$B,G$12,'IS GL Summary'!$G:$G,'Trending P&amp;L'!$C16,'IS GL Summary'!$E:$E,$D$6))</f>
        <v>16484.509999999998</v>
      </c>
      <c r="H16" s="142">
        <f>IF($D$6="Consolidated",SUMIFS('IS GL Summary'!$F:$F,'IS GL Summary'!$B:$B,H$12,'IS GL Summary'!$G:$G,'Trending P&amp;L'!$C16),SUMIFS('IS GL Summary'!$F:$F,'IS GL Summary'!$B:$B,H$12,'IS GL Summary'!$G:$G,'Trending P&amp;L'!$C16,'IS GL Summary'!$E:$E,$D$6))</f>
        <v>60446.05</v>
      </c>
      <c r="I16" s="142">
        <f>IF($D$6="Consolidated",SUMIFS('IS GL Summary'!$F:$F,'IS GL Summary'!$B:$B,I$12,'IS GL Summary'!$G:$G,'Trending P&amp;L'!$C16),SUMIFS('IS GL Summary'!$F:$F,'IS GL Summary'!$B:$B,I$12,'IS GL Summary'!$G:$G,'Trending P&amp;L'!$C16,'IS GL Summary'!$E:$E,$D$6))</f>
        <v>38183.379999999997</v>
      </c>
      <c r="J16" s="142">
        <f>IF($D$6="Consolidated",SUMIFS('IS GL Summary'!$F:$F,'IS GL Summary'!$B:$B,J$12,'IS GL Summary'!$G:$G,'Trending P&amp;L'!$C16),SUMIFS('IS GL Summary'!$F:$F,'IS GL Summary'!$B:$B,J$12,'IS GL Summary'!$G:$G,'Trending P&amp;L'!$C16,'IS GL Summary'!$E:$E,$D$6))</f>
        <v>80928.760000000009</v>
      </c>
      <c r="K16" s="142">
        <f>IF($D$6="Consolidated",SUMIFS('IS GL Summary'!$F:$F,'IS GL Summary'!$B:$B,K$12,'IS GL Summary'!$G:$G,'Trending P&amp;L'!$C16),SUMIFS('IS GL Summary'!$F:$F,'IS GL Summary'!$B:$B,K$12,'IS GL Summary'!$G:$G,'Trending P&amp;L'!$C16,'IS GL Summary'!$E:$E,$D$6))</f>
        <v>55851.880000000005</v>
      </c>
      <c r="L16" s="142">
        <f>IF($D$6="Consolidated",SUMIFS('IS GL Summary'!$F:$F,'IS GL Summary'!$B:$B,L$12,'IS GL Summary'!$G:$G,'Trending P&amp;L'!$C16),SUMIFS('IS GL Summary'!$F:$F,'IS GL Summary'!$B:$B,L$12,'IS GL Summary'!$G:$G,'Trending P&amp;L'!$C16,'IS GL Summary'!$E:$E,$D$6))</f>
        <v>33774.11</v>
      </c>
      <c r="M16" s="142">
        <f>IF($D$6="Consolidated",SUMIFS('IS GL Summary'!$F:$F,'IS GL Summary'!$B:$B,M$12,'IS GL Summary'!$G:$G,'Trending P&amp;L'!$C16),SUMIFS('IS GL Summary'!$F:$F,'IS GL Summary'!$B:$B,M$12,'IS GL Summary'!$G:$G,'Trending P&amp;L'!$C16,'IS GL Summary'!$E:$E,$D$6))</f>
        <v>91622.46</v>
      </c>
      <c r="N16" s="142">
        <f>IF($D$6="Consolidated",SUMIFS('IS GL Summary'!$F:$F,'IS GL Summary'!$B:$B,N$12,'IS GL Summary'!$G:$G,'Trending P&amp;L'!$C16),SUMIFS('IS GL Summary'!$F:$F,'IS GL Summary'!$B:$B,N$12,'IS GL Summary'!$G:$G,'Trending P&amp;L'!$C16,'IS GL Summary'!$E:$E,$D$6))</f>
        <v>61525.819999999992</v>
      </c>
      <c r="O16" s="143">
        <f>IF($D$6="Consolidated",SUMIFS('IS GL Summary'!$F:$F,'IS GL Summary'!$B:$B,O$12,'IS GL Summary'!$G:$G,'Trending P&amp;L'!$C16),SUMIFS('IS GL Summary'!$F:$F,'IS GL Summary'!$B:$B,O$12,'IS GL Summary'!$G:$G,'Trending P&amp;L'!$C16,'IS GL Summary'!$E:$E,$D$6))</f>
        <v>27839.48</v>
      </c>
      <c r="P16" s="74"/>
      <c r="Q16" s="63"/>
      <c r="R16" s="63"/>
      <c r="S16" s="63"/>
      <c r="T16" s="63"/>
      <c r="U16" s="63"/>
      <c r="V16" s="63"/>
      <c r="W16" s="63"/>
      <c r="X16" s="63"/>
      <c r="Y16" s="63"/>
      <c r="Z16" s="63"/>
      <c r="AA16" s="63"/>
      <c r="AB16" s="63"/>
      <c r="AC16" s="63"/>
      <c r="AD16" s="63"/>
      <c r="AE16" s="63"/>
      <c r="AF16" s="63"/>
    </row>
    <row r="17" spans="1:32" x14ac:dyDescent="0.25">
      <c r="A17" s="63"/>
      <c r="B17" s="68"/>
      <c r="C17" s="80" t="s">
        <v>372</v>
      </c>
      <c r="D17" s="141">
        <f>IF($D$6="Consolidated",SUMIFS('IS GL Summary'!$F:$F,'IS GL Summary'!$B:$B,D$12,'IS GL Summary'!$G:$G,'Trending P&amp;L'!$C17),SUMIFS('IS GL Summary'!$F:$F,'IS GL Summary'!$B:$B,D$12,'IS GL Summary'!$G:$G,'Trending P&amp;L'!$C17,'IS GL Summary'!$E:$E,$D$6))</f>
        <v>0</v>
      </c>
      <c r="E17" s="142">
        <f>IF($D$6="Consolidated",SUMIFS('IS GL Summary'!$F:$F,'IS GL Summary'!$B:$B,E$12,'IS GL Summary'!$G:$G,'Trending P&amp;L'!$C17),SUMIFS('IS GL Summary'!$F:$F,'IS GL Summary'!$B:$B,E$12,'IS GL Summary'!$G:$G,'Trending P&amp;L'!$C17,'IS GL Summary'!$E:$E,$D$6))</f>
        <v>0</v>
      </c>
      <c r="F17" s="142">
        <f>IF($D$6="Consolidated",SUMIFS('IS GL Summary'!$F:$F,'IS GL Summary'!$B:$B,F$12,'IS GL Summary'!$G:$G,'Trending P&amp;L'!$C17),SUMIFS('IS GL Summary'!$F:$F,'IS GL Summary'!$B:$B,F$12,'IS GL Summary'!$G:$G,'Trending P&amp;L'!$C17,'IS GL Summary'!$E:$E,$D$6))</f>
        <v>0</v>
      </c>
      <c r="G17" s="142">
        <f>IF($D$6="Consolidated",SUMIFS('IS GL Summary'!$F:$F,'IS GL Summary'!$B:$B,G$12,'IS GL Summary'!$G:$G,'Trending P&amp;L'!$C17),SUMIFS('IS GL Summary'!$F:$F,'IS GL Summary'!$B:$B,G$12,'IS GL Summary'!$G:$G,'Trending P&amp;L'!$C17,'IS GL Summary'!$E:$E,$D$6))</f>
        <v>0</v>
      </c>
      <c r="H17" s="142">
        <f>IF($D$6="Consolidated",SUMIFS('IS GL Summary'!$F:$F,'IS GL Summary'!$B:$B,H$12,'IS GL Summary'!$G:$G,'Trending P&amp;L'!$C17),SUMIFS('IS GL Summary'!$F:$F,'IS GL Summary'!$B:$B,H$12,'IS GL Summary'!$G:$G,'Trending P&amp;L'!$C17,'IS GL Summary'!$E:$E,$D$6))</f>
        <v>0</v>
      </c>
      <c r="I17" s="142">
        <f>IF($D$6="Consolidated",SUMIFS('IS GL Summary'!$F:$F,'IS GL Summary'!$B:$B,I$12,'IS GL Summary'!$G:$G,'Trending P&amp;L'!$C17),SUMIFS('IS GL Summary'!$F:$F,'IS GL Summary'!$B:$B,I$12,'IS GL Summary'!$G:$G,'Trending P&amp;L'!$C17,'IS GL Summary'!$E:$E,$D$6))</f>
        <v>0</v>
      </c>
      <c r="J17" s="142">
        <f>IF($D$6="Consolidated",SUMIFS('IS GL Summary'!$F:$F,'IS GL Summary'!$B:$B,J$12,'IS GL Summary'!$G:$G,'Trending P&amp;L'!$C17),SUMIFS('IS GL Summary'!$F:$F,'IS GL Summary'!$B:$B,J$12,'IS GL Summary'!$G:$G,'Trending P&amp;L'!$C17,'IS GL Summary'!$E:$E,$D$6))</f>
        <v>0</v>
      </c>
      <c r="K17" s="142">
        <f>IF($D$6="Consolidated",SUMIFS('IS GL Summary'!$F:$F,'IS GL Summary'!$B:$B,K$12,'IS GL Summary'!$G:$G,'Trending P&amp;L'!$C17),SUMIFS('IS GL Summary'!$F:$F,'IS GL Summary'!$B:$B,K$12,'IS GL Summary'!$G:$G,'Trending P&amp;L'!$C17,'IS GL Summary'!$E:$E,$D$6))</f>
        <v>0</v>
      </c>
      <c r="L17" s="142">
        <f>IF($D$6="Consolidated",SUMIFS('IS GL Summary'!$F:$F,'IS GL Summary'!$B:$B,L$12,'IS GL Summary'!$G:$G,'Trending P&amp;L'!$C17),SUMIFS('IS GL Summary'!$F:$F,'IS GL Summary'!$B:$B,L$12,'IS GL Summary'!$G:$G,'Trending P&amp;L'!$C17,'IS GL Summary'!$E:$E,$D$6))</f>
        <v>0</v>
      </c>
      <c r="M17" s="142">
        <f>IF($D$6="Consolidated",SUMIFS('IS GL Summary'!$F:$F,'IS GL Summary'!$B:$B,M$12,'IS GL Summary'!$G:$G,'Trending P&amp;L'!$C17),SUMIFS('IS GL Summary'!$F:$F,'IS GL Summary'!$B:$B,M$12,'IS GL Summary'!$G:$G,'Trending P&amp;L'!$C17,'IS GL Summary'!$E:$E,$D$6))</f>
        <v>0</v>
      </c>
      <c r="N17" s="142">
        <f>IF($D$6="Consolidated",SUMIFS('IS GL Summary'!$F:$F,'IS GL Summary'!$B:$B,N$12,'IS GL Summary'!$G:$G,'Trending P&amp;L'!$C17),SUMIFS('IS GL Summary'!$F:$F,'IS GL Summary'!$B:$B,N$12,'IS GL Summary'!$G:$G,'Trending P&amp;L'!$C17,'IS GL Summary'!$E:$E,$D$6))</f>
        <v>0</v>
      </c>
      <c r="O17" s="143">
        <f>IF($D$6="Consolidated",SUMIFS('IS GL Summary'!$F:$F,'IS GL Summary'!$B:$B,O$12,'IS GL Summary'!$G:$G,'Trending P&amp;L'!$C17),SUMIFS('IS GL Summary'!$F:$F,'IS GL Summary'!$B:$B,O$12,'IS GL Summary'!$G:$G,'Trending P&amp;L'!$C17,'IS GL Summary'!$E:$E,$D$6))</f>
        <v>0</v>
      </c>
      <c r="P17" s="74"/>
      <c r="Q17" s="63"/>
      <c r="R17" s="63"/>
      <c r="S17" s="63"/>
      <c r="T17" s="63"/>
      <c r="U17" s="63"/>
      <c r="V17" s="63"/>
      <c r="W17" s="63"/>
      <c r="X17" s="63"/>
      <c r="Y17" s="63"/>
      <c r="Z17" s="63"/>
      <c r="AA17" s="63"/>
      <c r="AB17" s="63"/>
      <c r="AC17" s="63"/>
      <c r="AD17" s="63"/>
      <c r="AE17" s="63"/>
      <c r="AF17" s="63"/>
    </row>
    <row r="18" spans="1:32" x14ac:dyDescent="0.25">
      <c r="A18" s="63"/>
      <c r="B18" s="68"/>
      <c r="C18" s="80" t="s">
        <v>209</v>
      </c>
      <c r="D18" s="141">
        <f>IF($D$6="Consolidated",SUMIFS('IS GL Summary'!$F:$F,'IS GL Summary'!$B:$B,D$12,'IS GL Summary'!$G:$G,'Trending P&amp;L'!$C18),SUMIFS('IS GL Summary'!$F:$F,'IS GL Summary'!$B:$B,D$12,'IS GL Summary'!$G:$G,'Trending P&amp;L'!$C18,'IS GL Summary'!$E:$E,$D$6))</f>
        <v>0</v>
      </c>
      <c r="E18" s="142">
        <f>IF($D$6="Consolidated",SUMIFS('IS GL Summary'!$F:$F,'IS GL Summary'!$B:$B,E$12,'IS GL Summary'!$G:$G,'Trending P&amp;L'!$C18),SUMIFS('IS GL Summary'!$F:$F,'IS GL Summary'!$B:$B,E$12,'IS GL Summary'!$G:$G,'Trending P&amp;L'!$C18,'IS GL Summary'!$E:$E,$D$6))</f>
        <v>0</v>
      </c>
      <c r="F18" s="142">
        <f>IF($D$6="Consolidated",SUMIFS('IS GL Summary'!$F:$F,'IS GL Summary'!$B:$B,F$12,'IS GL Summary'!$G:$G,'Trending P&amp;L'!$C18),SUMIFS('IS GL Summary'!$F:$F,'IS GL Summary'!$B:$B,F$12,'IS GL Summary'!$G:$G,'Trending P&amp;L'!$C18,'IS GL Summary'!$E:$E,$D$6))</f>
        <v>0</v>
      </c>
      <c r="G18" s="142">
        <f>IF($D$6="Consolidated",SUMIFS('IS GL Summary'!$F:$F,'IS GL Summary'!$B:$B,G$12,'IS GL Summary'!$G:$G,'Trending P&amp;L'!$C18),SUMIFS('IS GL Summary'!$F:$F,'IS GL Summary'!$B:$B,G$12,'IS GL Summary'!$G:$G,'Trending P&amp;L'!$C18,'IS GL Summary'!$E:$E,$D$6))</f>
        <v>0</v>
      </c>
      <c r="H18" s="142">
        <f>IF($D$6="Consolidated",SUMIFS('IS GL Summary'!$F:$F,'IS GL Summary'!$B:$B,H$12,'IS GL Summary'!$G:$G,'Trending P&amp;L'!$C18),SUMIFS('IS GL Summary'!$F:$F,'IS GL Summary'!$B:$B,H$12,'IS GL Summary'!$G:$G,'Trending P&amp;L'!$C18,'IS GL Summary'!$E:$E,$D$6))</f>
        <v>0</v>
      </c>
      <c r="I18" s="142">
        <f>IF($D$6="Consolidated",SUMIFS('IS GL Summary'!$F:$F,'IS GL Summary'!$B:$B,I$12,'IS GL Summary'!$G:$G,'Trending P&amp;L'!$C18),SUMIFS('IS GL Summary'!$F:$F,'IS GL Summary'!$B:$B,I$12,'IS GL Summary'!$G:$G,'Trending P&amp;L'!$C18,'IS GL Summary'!$E:$E,$D$6))</f>
        <v>0</v>
      </c>
      <c r="J18" s="142">
        <f>IF($D$6="Consolidated",SUMIFS('IS GL Summary'!$F:$F,'IS GL Summary'!$B:$B,J$12,'IS GL Summary'!$G:$G,'Trending P&amp;L'!$C18),SUMIFS('IS GL Summary'!$F:$F,'IS GL Summary'!$B:$B,J$12,'IS GL Summary'!$G:$G,'Trending P&amp;L'!$C18,'IS GL Summary'!$E:$E,$D$6))</f>
        <v>0</v>
      </c>
      <c r="K18" s="142">
        <f>IF($D$6="Consolidated",SUMIFS('IS GL Summary'!$F:$F,'IS GL Summary'!$B:$B,K$12,'IS GL Summary'!$G:$G,'Trending P&amp;L'!$C18),SUMIFS('IS GL Summary'!$F:$F,'IS GL Summary'!$B:$B,K$12,'IS GL Summary'!$G:$G,'Trending P&amp;L'!$C18,'IS GL Summary'!$E:$E,$D$6))</f>
        <v>0</v>
      </c>
      <c r="L18" s="142">
        <f>IF($D$6="Consolidated",SUMIFS('IS GL Summary'!$F:$F,'IS GL Summary'!$B:$B,L$12,'IS GL Summary'!$G:$G,'Trending P&amp;L'!$C18),SUMIFS('IS GL Summary'!$F:$F,'IS GL Summary'!$B:$B,L$12,'IS GL Summary'!$G:$G,'Trending P&amp;L'!$C18,'IS GL Summary'!$E:$E,$D$6))</f>
        <v>0</v>
      </c>
      <c r="M18" s="142">
        <f>IF($D$6="Consolidated",SUMIFS('IS GL Summary'!$F:$F,'IS GL Summary'!$B:$B,M$12,'IS GL Summary'!$G:$G,'Trending P&amp;L'!$C18),SUMIFS('IS GL Summary'!$F:$F,'IS GL Summary'!$B:$B,M$12,'IS GL Summary'!$G:$G,'Trending P&amp;L'!$C18,'IS GL Summary'!$E:$E,$D$6))</f>
        <v>0</v>
      </c>
      <c r="N18" s="142">
        <f>IF($D$6="Consolidated",SUMIFS('IS GL Summary'!$F:$F,'IS GL Summary'!$B:$B,N$12,'IS GL Summary'!$G:$G,'Trending P&amp;L'!$C18),SUMIFS('IS GL Summary'!$F:$F,'IS GL Summary'!$B:$B,N$12,'IS GL Summary'!$G:$G,'Trending P&amp;L'!$C18,'IS GL Summary'!$E:$E,$D$6))</f>
        <v>0</v>
      </c>
      <c r="O18" s="143">
        <f>IF($D$6="Consolidated",SUMIFS('IS GL Summary'!$F:$F,'IS GL Summary'!$B:$B,O$12,'IS GL Summary'!$G:$G,'Trending P&amp;L'!$C18),SUMIFS('IS GL Summary'!$F:$F,'IS GL Summary'!$B:$B,O$12,'IS GL Summary'!$G:$G,'Trending P&amp;L'!$C18,'IS GL Summary'!$E:$E,$D$6))</f>
        <v>3812.5</v>
      </c>
      <c r="P18" s="74"/>
      <c r="Q18" s="63"/>
      <c r="R18" s="63"/>
      <c r="S18" s="63"/>
      <c r="T18" s="63"/>
      <c r="U18" s="63"/>
      <c r="V18" s="63"/>
      <c r="W18" s="63"/>
      <c r="X18" s="63"/>
      <c r="Y18" s="63"/>
      <c r="Z18" s="63"/>
      <c r="AA18" s="63"/>
      <c r="AB18" s="63"/>
      <c r="AC18" s="63"/>
      <c r="AD18" s="63"/>
      <c r="AE18" s="63"/>
      <c r="AF18" s="63"/>
    </row>
    <row r="19" spans="1:32" ht="3" customHeight="1" x14ac:dyDescent="0.25">
      <c r="A19" s="63"/>
      <c r="B19" s="68"/>
      <c r="C19" s="93"/>
      <c r="D19" s="94"/>
      <c r="E19" s="95"/>
      <c r="F19" s="95"/>
      <c r="G19" s="95"/>
      <c r="H19" s="95"/>
      <c r="I19" s="95"/>
      <c r="J19" s="95"/>
      <c r="K19" s="95"/>
      <c r="L19" s="95"/>
      <c r="M19" s="95"/>
      <c r="N19" s="95"/>
      <c r="O19" s="96"/>
      <c r="P19" s="74"/>
      <c r="Q19" s="63"/>
      <c r="R19" s="63"/>
      <c r="S19" s="63"/>
      <c r="T19" s="63"/>
      <c r="U19" s="63"/>
      <c r="V19" s="63"/>
      <c r="W19" s="63"/>
      <c r="X19" s="63"/>
      <c r="Y19" s="63"/>
      <c r="Z19" s="63"/>
      <c r="AA19" s="63"/>
      <c r="AB19" s="63"/>
      <c r="AC19" s="63"/>
      <c r="AD19" s="63"/>
      <c r="AE19" s="63"/>
      <c r="AF19" s="63"/>
    </row>
    <row r="20" spans="1:32" x14ac:dyDescent="0.25">
      <c r="A20" s="63"/>
      <c r="B20" s="68"/>
      <c r="C20" s="97" t="s">
        <v>210</v>
      </c>
      <c r="D20" s="98">
        <f t="shared" ref="D20:O20" si="1">SUM(D15:D19)</f>
        <v>131483.14000000001</v>
      </c>
      <c r="E20" s="99">
        <f t="shared" si="1"/>
        <v>149131.45000000001</v>
      </c>
      <c r="F20" s="99">
        <f t="shared" si="1"/>
        <v>179268.83000000002</v>
      </c>
      <c r="G20" s="99">
        <f t="shared" si="1"/>
        <v>138169.95000000001</v>
      </c>
      <c r="H20" s="99">
        <f t="shared" si="1"/>
        <v>244826.34000000003</v>
      </c>
      <c r="I20" s="99">
        <f t="shared" si="1"/>
        <v>166001.76999999999</v>
      </c>
      <c r="J20" s="99">
        <f t="shared" si="1"/>
        <v>195588.2</v>
      </c>
      <c r="K20" s="99">
        <f t="shared" si="1"/>
        <v>166580.79999999999</v>
      </c>
      <c r="L20" s="99">
        <f t="shared" si="1"/>
        <v>94116.22</v>
      </c>
      <c r="M20" s="99">
        <f t="shared" si="1"/>
        <v>186888.96000000002</v>
      </c>
      <c r="N20" s="99">
        <f t="shared" si="1"/>
        <v>183743.63</v>
      </c>
      <c r="O20" s="100">
        <f t="shared" si="1"/>
        <v>177061.40000000002</v>
      </c>
      <c r="P20" s="74"/>
      <c r="Q20" s="63"/>
      <c r="R20" s="63"/>
      <c r="S20" s="63"/>
      <c r="T20" s="63"/>
      <c r="U20" s="63"/>
      <c r="V20" s="63"/>
      <c r="W20" s="63"/>
      <c r="X20" s="63"/>
      <c r="Y20" s="63"/>
      <c r="Z20" s="63"/>
      <c r="AA20" s="63"/>
      <c r="AB20" s="63"/>
      <c r="AC20" s="63"/>
      <c r="AD20" s="63"/>
      <c r="AE20" s="63"/>
      <c r="AF20" s="63"/>
    </row>
    <row r="21" spans="1:32" ht="4.95" customHeight="1" x14ac:dyDescent="0.25">
      <c r="A21" s="63"/>
      <c r="B21" s="68"/>
      <c r="C21" s="93"/>
      <c r="D21" s="94"/>
      <c r="E21" s="95"/>
      <c r="F21" s="95"/>
      <c r="G21" s="95"/>
      <c r="H21" s="95"/>
      <c r="I21" s="95"/>
      <c r="J21" s="95"/>
      <c r="K21" s="95"/>
      <c r="L21" s="95"/>
      <c r="M21" s="95"/>
      <c r="N21" s="95"/>
      <c r="O21" s="96"/>
      <c r="P21" s="74"/>
      <c r="Q21" s="63"/>
      <c r="R21" s="63"/>
      <c r="S21" s="63"/>
      <c r="T21" s="63"/>
      <c r="U21" s="63"/>
      <c r="V21" s="63"/>
      <c r="W21" s="63"/>
      <c r="X21" s="63"/>
      <c r="Y21" s="63"/>
      <c r="Z21" s="63"/>
      <c r="AA21" s="63"/>
      <c r="AB21" s="63"/>
      <c r="AC21" s="63"/>
      <c r="AD21" s="63"/>
      <c r="AE21" s="63"/>
      <c r="AF21" s="63"/>
    </row>
    <row r="22" spans="1:32" x14ac:dyDescent="0.25">
      <c r="A22" s="63"/>
      <c r="B22" s="68"/>
      <c r="C22" s="89" t="s">
        <v>211</v>
      </c>
      <c r="D22" s="101"/>
      <c r="E22" s="102"/>
      <c r="F22" s="102"/>
      <c r="G22" s="102"/>
      <c r="H22" s="102"/>
      <c r="I22" s="102"/>
      <c r="J22" s="102"/>
      <c r="K22" s="102"/>
      <c r="L22" s="102"/>
      <c r="M22" s="102"/>
      <c r="N22" s="102"/>
      <c r="O22" s="103"/>
      <c r="P22" s="74"/>
      <c r="Q22" s="63"/>
      <c r="R22" s="63"/>
      <c r="S22" s="63"/>
      <c r="T22" s="63"/>
      <c r="U22" s="63"/>
      <c r="V22" s="63"/>
      <c r="W22" s="63"/>
      <c r="X22" s="63"/>
      <c r="Y22" s="63"/>
      <c r="Z22" s="63"/>
      <c r="AA22" s="63"/>
      <c r="AB22" s="63"/>
      <c r="AC22" s="63"/>
      <c r="AD22" s="63"/>
      <c r="AE22" s="63"/>
      <c r="AF22" s="63"/>
    </row>
    <row r="23" spans="1:32" x14ac:dyDescent="0.25">
      <c r="A23" s="63"/>
      <c r="B23" s="68"/>
      <c r="C23" s="80" t="s">
        <v>550</v>
      </c>
      <c r="D23" s="141">
        <f>IF($D$6="Consolidated",SUMIFS('IS GL Summary'!$F:$F,'IS GL Summary'!$B:$B,D$12,'IS GL Summary'!$G:$G,'Trending P&amp;L'!$C23),SUMIFS('IS GL Summary'!$F:$F,'IS GL Summary'!$B:$B,D$12,'IS GL Summary'!$G:$G,'Trending P&amp;L'!$C23,'IS GL Summary'!$E:$E,$D$6))</f>
        <v>7912.4</v>
      </c>
      <c r="E23" s="142">
        <f>IF($D$6="Consolidated",SUMIFS('IS GL Summary'!$F:$F,'IS GL Summary'!$B:$B,E$12,'IS GL Summary'!$G:$G,'Trending P&amp;L'!$C23),SUMIFS('IS GL Summary'!$F:$F,'IS GL Summary'!$B:$B,E$12,'IS GL Summary'!$G:$G,'Trending P&amp;L'!$C23,'IS GL Summary'!$E:$E,$D$6))</f>
        <v>4834.49</v>
      </c>
      <c r="F23" s="142">
        <f>IF($D$6="Consolidated",SUMIFS('IS GL Summary'!$F:$F,'IS GL Summary'!$B:$B,F$12,'IS GL Summary'!$G:$G,'Trending P&amp;L'!$C23),SUMIFS('IS GL Summary'!$F:$F,'IS GL Summary'!$B:$B,F$12,'IS GL Summary'!$G:$G,'Trending P&amp;L'!$C23,'IS GL Summary'!$E:$E,$D$6))</f>
        <v>20893.7</v>
      </c>
      <c r="G23" s="142">
        <f>IF($D$6="Consolidated",SUMIFS('IS GL Summary'!$F:$F,'IS GL Summary'!$B:$B,G$12,'IS GL Summary'!$G:$G,'Trending P&amp;L'!$C23),SUMIFS('IS GL Summary'!$F:$F,'IS GL Summary'!$B:$B,G$12,'IS GL Summary'!$G:$G,'Trending P&amp;L'!$C23,'IS GL Summary'!$E:$E,$D$6))</f>
        <v>9231.7999999999993</v>
      </c>
      <c r="H23" s="142">
        <f>IF($D$6="Consolidated",SUMIFS('IS GL Summary'!$F:$F,'IS GL Summary'!$B:$B,H$12,'IS GL Summary'!$G:$G,'Trending P&amp;L'!$C23),SUMIFS('IS GL Summary'!$F:$F,'IS GL Summary'!$B:$B,H$12,'IS GL Summary'!$G:$G,'Trending P&amp;L'!$C23,'IS GL Summary'!$E:$E,$D$6))</f>
        <v>14369</v>
      </c>
      <c r="I23" s="142">
        <f>IF($D$6="Consolidated",SUMIFS('IS GL Summary'!$F:$F,'IS GL Summary'!$B:$B,I$12,'IS GL Summary'!$G:$G,'Trending P&amp;L'!$C23),SUMIFS('IS GL Summary'!$F:$F,'IS GL Summary'!$B:$B,I$12,'IS GL Summary'!$G:$G,'Trending P&amp;L'!$C23,'IS GL Summary'!$E:$E,$D$6))</f>
        <v>46816.35</v>
      </c>
      <c r="J23" s="142">
        <f>IF($D$6="Consolidated",SUMIFS('IS GL Summary'!$F:$F,'IS GL Summary'!$B:$B,J$12,'IS GL Summary'!$G:$G,'Trending P&amp;L'!$C23),SUMIFS('IS GL Summary'!$F:$F,'IS GL Summary'!$B:$B,J$12,'IS GL Summary'!$G:$G,'Trending P&amp;L'!$C23,'IS GL Summary'!$E:$E,$D$6))</f>
        <v>8578</v>
      </c>
      <c r="K23" s="142">
        <f>IF($D$6="Consolidated",SUMIFS('IS GL Summary'!$F:$F,'IS GL Summary'!$B:$B,K$12,'IS GL Summary'!$G:$G,'Trending P&amp;L'!$C23),SUMIFS('IS GL Summary'!$F:$F,'IS GL Summary'!$B:$B,K$12,'IS GL Summary'!$G:$G,'Trending P&amp;L'!$C23,'IS GL Summary'!$E:$E,$D$6))</f>
        <v>5193</v>
      </c>
      <c r="L23" s="142">
        <f>IF($D$6="Consolidated",SUMIFS('IS GL Summary'!$F:$F,'IS GL Summary'!$B:$B,L$12,'IS GL Summary'!$G:$G,'Trending P&amp;L'!$C23),SUMIFS('IS GL Summary'!$F:$F,'IS GL Summary'!$B:$B,L$12,'IS GL Summary'!$G:$G,'Trending P&amp;L'!$C23,'IS GL Summary'!$E:$E,$D$6))</f>
        <v>81123.81</v>
      </c>
      <c r="M23" s="142">
        <f>IF($D$6="Consolidated",SUMIFS('IS GL Summary'!$F:$F,'IS GL Summary'!$B:$B,M$12,'IS GL Summary'!$G:$G,'Trending P&amp;L'!$C23),SUMIFS('IS GL Summary'!$F:$F,'IS GL Summary'!$B:$B,M$12,'IS GL Summary'!$G:$G,'Trending P&amp;L'!$C23,'IS GL Summary'!$E:$E,$D$6))</f>
        <v>19647.2</v>
      </c>
      <c r="N23" s="142">
        <f>IF($D$6="Consolidated",SUMIFS('IS GL Summary'!$F:$F,'IS GL Summary'!$B:$B,N$12,'IS GL Summary'!$G:$G,'Trending P&amp;L'!$C23),SUMIFS('IS GL Summary'!$F:$F,'IS GL Summary'!$B:$B,N$12,'IS GL Summary'!$G:$G,'Trending P&amp;L'!$C23,'IS GL Summary'!$E:$E,$D$6))</f>
        <v>20435.61</v>
      </c>
      <c r="O23" s="143">
        <f>IF($D$6="Consolidated",SUMIFS('IS GL Summary'!$F:$F,'IS GL Summary'!$B:$B,O$12,'IS GL Summary'!$G:$G,'Trending P&amp;L'!$C23),SUMIFS('IS GL Summary'!$F:$F,'IS GL Summary'!$B:$B,O$12,'IS GL Summary'!$G:$G,'Trending P&amp;L'!$C23,'IS GL Summary'!$E:$E,$D$6))</f>
        <v>64101.03</v>
      </c>
      <c r="P23" s="74"/>
      <c r="Q23" s="63"/>
      <c r="R23" s="63"/>
      <c r="S23" s="63"/>
      <c r="T23" s="63"/>
      <c r="U23" s="63"/>
      <c r="V23" s="63"/>
      <c r="W23" s="63"/>
      <c r="X23" s="63"/>
      <c r="Y23" s="63"/>
      <c r="Z23" s="63"/>
      <c r="AA23" s="63"/>
      <c r="AB23" s="63"/>
      <c r="AC23" s="63"/>
      <c r="AD23" s="63"/>
      <c r="AE23" s="63"/>
      <c r="AF23" s="63"/>
    </row>
    <row r="24" spans="1:32" x14ac:dyDescent="0.25">
      <c r="A24" s="63"/>
      <c r="B24" s="68"/>
      <c r="C24" s="80" t="s">
        <v>212</v>
      </c>
      <c r="D24" s="141">
        <f>IF($D$6="Consolidated",SUMIFS('IS GL Summary'!$F:$F,'IS GL Summary'!$B:$B,D$12,'IS GL Summary'!$G:$G,'Trending P&amp;L'!$C24),SUMIFS('IS GL Summary'!$F:$F,'IS GL Summary'!$B:$B,D$12,'IS GL Summary'!$G:$G,'Trending P&amp;L'!$C24,'IS GL Summary'!$E:$E,$D$6))</f>
        <v>48822.27</v>
      </c>
      <c r="E24" s="142">
        <f>IF($D$6="Consolidated",SUMIFS('IS GL Summary'!$F:$F,'IS GL Summary'!$B:$B,E$12,'IS GL Summary'!$G:$G,'Trending P&amp;L'!$C24),SUMIFS('IS GL Summary'!$F:$F,'IS GL Summary'!$B:$B,E$12,'IS GL Summary'!$G:$G,'Trending P&amp;L'!$C24,'IS GL Summary'!$E:$E,$D$6))</f>
        <v>48612.119999999995</v>
      </c>
      <c r="F24" s="142">
        <f>IF($D$6="Consolidated",SUMIFS('IS GL Summary'!$F:$F,'IS GL Summary'!$B:$B,F$12,'IS GL Summary'!$G:$G,'Trending P&amp;L'!$C24),SUMIFS('IS GL Summary'!$F:$F,'IS GL Summary'!$B:$B,F$12,'IS GL Summary'!$G:$G,'Trending P&amp;L'!$C24,'IS GL Summary'!$E:$E,$D$6))</f>
        <v>43691.69</v>
      </c>
      <c r="G24" s="142">
        <f>IF($D$6="Consolidated",SUMIFS('IS GL Summary'!$F:$F,'IS GL Summary'!$B:$B,G$12,'IS GL Summary'!$G:$G,'Trending P&amp;L'!$C24),SUMIFS('IS GL Summary'!$F:$F,'IS GL Summary'!$B:$B,G$12,'IS GL Summary'!$G:$G,'Trending P&amp;L'!$C24,'IS GL Summary'!$E:$E,$D$6))</f>
        <v>63057.38</v>
      </c>
      <c r="H24" s="142">
        <f>IF($D$6="Consolidated",SUMIFS('IS GL Summary'!$F:$F,'IS GL Summary'!$B:$B,H$12,'IS GL Summary'!$G:$G,'Trending P&amp;L'!$C24),SUMIFS('IS GL Summary'!$F:$F,'IS GL Summary'!$B:$B,H$12,'IS GL Summary'!$G:$G,'Trending P&amp;L'!$C24,'IS GL Summary'!$E:$E,$D$6))</f>
        <v>56359.140000000007</v>
      </c>
      <c r="I24" s="142">
        <f>IF($D$6="Consolidated",SUMIFS('IS GL Summary'!$F:$F,'IS GL Summary'!$B:$B,I$12,'IS GL Summary'!$G:$G,'Trending P&amp;L'!$C24),SUMIFS('IS GL Summary'!$F:$F,'IS GL Summary'!$B:$B,I$12,'IS GL Summary'!$G:$G,'Trending P&amp;L'!$C24,'IS GL Summary'!$E:$E,$D$6))</f>
        <v>55172.259999999995</v>
      </c>
      <c r="J24" s="142">
        <f>IF($D$6="Consolidated",SUMIFS('IS GL Summary'!$F:$F,'IS GL Summary'!$B:$B,J$12,'IS GL Summary'!$G:$G,'Trending P&amp;L'!$C24),SUMIFS('IS GL Summary'!$F:$F,'IS GL Summary'!$B:$B,J$12,'IS GL Summary'!$G:$G,'Trending P&amp;L'!$C24,'IS GL Summary'!$E:$E,$D$6))</f>
        <v>62912.640000000007</v>
      </c>
      <c r="K24" s="142">
        <f>IF($D$6="Consolidated",SUMIFS('IS GL Summary'!$F:$F,'IS GL Summary'!$B:$B,K$12,'IS GL Summary'!$G:$G,'Trending P&amp;L'!$C24),SUMIFS('IS GL Summary'!$F:$F,'IS GL Summary'!$B:$B,K$12,'IS GL Summary'!$G:$G,'Trending P&amp;L'!$C24,'IS GL Summary'!$E:$E,$D$6))</f>
        <v>73525.429999999978</v>
      </c>
      <c r="L24" s="142">
        <f>IF($D$6="Consolidated",SUMIFS('IS GL Summary'!$F:$F,'IS GL Summary'!$B:$B,L$12,'IS GL Summary'!$G:$G,'Trending P&amp;L'!$C24),SUMIFS('IS GL Summary'!$F:$F,'IS GL Summary'!$B:$B,L$12,'IS GL Summary'!$G:$G,'Trending P&amp;L'!$C24,'IS GL Summary'!$E:$E,$D$6))</f>
        <v>61331.43</v>
      </c>
      <c r="M24" s="142">
        <f>IF($D$6="Consolidated",SUMIFS('IS GL Summary'!$F:$F,'IS GL Summary'!$B:$B,M$12,'IS GL Summary'!$G:$G,'Trending P&amp;L'!$C24),SUMIFS('IS GL Summary'!$F:$F,'IS GL Summary'!$B:$B,M$12,'IS GL Summary'!$G:$G,'Trending P&amp;L'!$C24,'IS GL Summary'!$E:$E,$D$6))</f>
        <v>63801.709999999992</v>
      </c>
      <c r="N24" s="142">
        <f>IF($D$6="Consolidated",SUMIFS('IS GL Summary'!$F:$F,'IS GL Summary'!$B:$B,N$12,'IS GL Summary'!$G:$G,'Trending P&amp;L'!$C24),SUMIFS('IS GL Summary'!$F:$F,'IS GL Summary'!$B:$B,N$12,'IS GL Summary'!$G:$G,'Trending P&amp;L'!$C24,'IS GL Summary'!$E:$E,$D$6))</f>
        <v>67308.92</v>
      </c>
      <c r="O24" s="143">
        <f>IF($D$6="Consolidated",SUMIFS('IS GL Summary'!$F:$F,'IS GL Summary'!$B:$B,O$12,'IS GL Summary'!$G:$G,'Trending P&amp;L'!$C24),SUMIFS('IS GL Summary'!$F:$F,'IS GL Summary'!$B:$B,O$12,'IS GL Summary'!$G:$G,'Trending P&amp;L'!$C24,'IS GL Summary'!$E:$E,$D$6))</f>
        <v>56880.28</v>
      </c>
      <c r="P24" s="74"/>
      <c r="Q24" s="63"/>
      <c r="R24" s="63"/>
      <c r="S24" s="63"/>
      <c r="T24" s="63"/>
      <c r="U24" s="63"/>
      <c r="V24" s="63"/>
      <c r="W24" s="63"/>
      <c r="X24" s="63"/>
      <c r="Y24" s="63"/>
      <c r="Z24" s="63"/>
      <c r="AA24" s="63"/>
      <c r="AB24" s="63"/>
      <c r="AC24" s="63"/>
      <c r="AD24" s="63"/>
      <c r="AE24" s="63"/>
      <c r="AF24" s="63"/>
    </row>
    <row r="25" spans="1:32" ht="4.95" customHeight="1" x14ac:dyDescent="0.25">
      <c r="A25" s="63"/>
      <c r="B25" s="68"/>
      <c r="C25" s="93"/>
      <c r="D25" s="94"/>
      <c r="E25" s="95"/>
      <c r="F25" s="95"/>
      <c r="G25" s="95"/>
      <c r="H25" s="95"/>
      <c r="I25" s="95"/>
      <c r="J25" s="95"/>
      <c r="K25" s="95"/>
      <c r="L25" s="95"/>
      <c r="M25" s="95"/>
      <c r="N25" s="95"/>
      <c r="O25" s="96"/>
      <c r="P25" s="74"/>
      <c r="Q25" s="63"/>
      <c r="R25" s="63"/>
      <c r="S25" s="63"/>
      <c r="T25" s="63"/>
      <c r="U25" s="63"/>
      <c r="V25" s="63"/>
      <c r="W25" s="63"/>
      <c r="X25" s="63"/>
      <c r="Y25" s="63"/>
      <c r="Z25" s="63"/>
      <c r="AA25" s="63"/>
      <c r="AB25" s="63"/>
      <c r="AC25" s="63"/>
      <c r="AD25" s="63"/>
      <c r="AE25" s="63"/>
      <c r="AF25" s="63"/>
    </row>
    <row r="26" spans="1:32" x14ac:dyDescent="0.25">
      <c r="A26" s="63"/>
      <c r="B26" s="68"/>
      <c r="C26" s="97" t="s">
        <v>48</v>
      </c>
      <c r="D26" s="98">
        <f t="shared" ref="D26:O26" si="2">D20-SUM(D23:D25)</f>
        <v>74748.470000000016</v>
      </c>
      <c r="E26" s="99">
        <f t="shared" si="2"/>
        <v>95684.840000000026</v>
      </c>
      <c r="F26" s="99">
        <f t="shared" si="2"/>
        <v>114683.44000000002</v>
      </c>
      <c r="G26" s="99">
        <f t="shared" si="2"/>
        <v>65880.770000000019</v>
      </c>
      <c r="H26" s="99">
        <f t="shared" si="2"/>
        <v>174098.2</v>
      </c>
      <c r="I26" s="99">
        <f t="shared" si="2"/>
        <v>64013.16</v>
      </c>
      <c r="J26" s="99">
        <f t="shared" si="2"/>
        <v>124097.56</v>
      </c>
      <c r="K26" s="99">
        <f t="shared" si="2"/>
        <v>87862.37000000001</v>
      </c>
      <c r="L26" s="99">
        <f t="shared" si="2"/>
        <v>-48339.01999999999</v>
      </c>
      <c r="M26" s="99">
        <f t="shared" si="2"/>
        <v>103440.05000000003</v>
      </c>
      <c r="N26" s="99">
        <f t="shared" si="2"/>
        <v>95999.1</v>
      </c>
      <c r="O26" s="100">
        <f t="shared" si="2"/>
        <v>56080.090000000026</v>
      </c>
      <c r="P26" s="74"/>
      <c r="Q26" s="63"/>
      <c r="R26" s="63"/>
      <c r="S26" s="63"/>
      <c r="T26" s="63"/>
      <c r="U26" s="63"/>
      <c r="V26" s="63"/>
      <c r="W26" s="63"/>
      <c r="X26" s="63"/>
      <c r="Y26" s="63"/>
      <c r="Z26" s="63"/>
      <c r="AA26" s="63"/>
      <c r="AB26" s="63"/>
      <c r="AC26" s="63"/>
      <c r="AD26" s="63"/>
      <c r="AE26" s="63"/>
      <c r="AF26" s="63"/>
    </row>
    <row r="27" spans="1:32" x14ac:dyDescent="0.25">
      <c r="A27" s="63"/>
      <c r="B27" s="68"/>
      <c r="C27" s="104" t="s">
        <v>373</v>
      </c>
      <c r="D27" s="105">
        <f t="shared" ref="D27:O27" si="3">IFERROR(D26/D20,0)</f>
        <v>0.56850231900455073</v>
      </c>
      <c r="E27" s="106">
        <f t="shared" si="3"/>
        <v>0.64161409280202142</v>
      </c>
      <c r="F27" s="106">
        <f t="shared" si="3"/>
        <v>0.63972883629574651</v>
      </c>
      <c r="G27" s="106">
        <f t="shared" si="3"/>
        <v>0.47680968256846018</v>
      </c>
      <c r="H27" s="106">
        <f t="shared" si="3"/>
        <v>0.71110894358834098</v>
      </c>
      <c r="I27" s="106">
        <f t="shared" si="3"/>
        <v>0.38561733408023302</v>
      </c>
      <c r="J27" s="106">
        <f t="shared" si="3"/>
        <v>0.6344838799068655</v>
      </c>
      <c r="K27" s="106">
        <f t="shared" si="3"/>
        <v>0.52744596015867384</v>
      </c>
      <c r="L27" s="106">
        <f t="shared" si="3"/>
        <v>-0.51360987510973122</v>
      </c>
      <c r="M27" s="106">
        <f t="shared" si="3"/>
        <v>0.55348400461964165</v>
      </c>
      <c r="N27" s="106">
        <f t="shared" si="3"/>
        <v>0.5224621936553665</v>
      </c>
      <c r="O27" s="107">
        <f t="shared" si="3"/>
        <v>0.3167267964672143</v>
      </c>
      <c r="P27" s="74"/>
      <c r="Q27" s="63"/>
      <c r="R27" s="63"/>
      <c r="S27" s="63"/>
      <c r="T27" s="63"/>
      <c r="U27" s="63"/>
      <c r="V27" s="63"/>
      <c r="W27" s="63"/>
      <c r="X27" s="63"/>
      <c r="Y27" s="63"/>
      <c r="Z27" s="63"/>
      <c r="AA27" s="63"/>
      <c r="AB27" s="63"/>
      <c r="AC27" s="63"/>
      <c r="AD27" s="63"/>
      <c r="AE27" s="63"/>
      <c r="AF27" s="63"/>
    </row>
    <row r="28" spans="1:32" x14ac:dyDescent="0.25">
      <c r="A28" s="63"/>
      <c r="B28" s="68"/>
      <c r="C28" s="88"/>
      <c r="D28" s="108"/>
      <c r="E28" s="88"/>
      <c r="F28" s="88"/>
      <c r="G28" s="88"/>
      <c r="H28" s="88"/>
      <c r="I28" s="88"/>
      <c r="J28" s="88"/>
      <c r="K28" s="88"/>
      <c r="L28" s="88"/>
      <c r="M28" s="88"/>
      <c r="N28" s="88"/>
      <c r="O28" s="109"/>
      <c r="P28" s="74"/>
      <c r="Q28" s="63"/>
      <c r="R28" s="63"/>
      <c r="S28" s="63"/>
      <c r="T28" s="63"/>
      <c r="U28" s="63"/>
      <c r="V28" s="63"/>
      <c r="W28" s="63"/>
      <c r="X28" s="63"/>
      <c r="Y28" s="63"/>
      <c r="Z28" s="63"/>
      <c r="AA28" s="63"/>
      <c r="AB28" s="63"/>
      <c r="AC28" s="63"/>
      <c r="AD28" s="63"/>
      <c r="AE28" s="63"/>
      <c r="AF28" s="63"/>
    </row>
    <row r="29" spans="1:32" x14ac:dyDescent="0.25">
      <c r="A29" s="63"/>
      <c r="B29" s="68"/>
      <c r="C29" s="89" t="s">
        <v>374</v>
      </c>
      <c r="D29" s="110"/>
      <c r="E29" s="111"/>
      <c r="F29" s="111"/>
      <c r="G29" s="111"/>
      <c r="H29" s="111"/>
      <c r="I29" s="111"/>
      <c r="J29" s="111"/>
      <c r="K29" s="111"/>
      <c r="L29" s="111"/>
      <c r="M29" s="111"/>
      <c r="N29" s="111"/>
      <c r="O29" s="92"/>
      <c r="P29" s="74"/>
      <c r="Q29" s="63"/>
      <c r="R29" s="63"/>
      <c r="S29" s="63"/>
      <c r="T29" s="63"/>
      <c r="U29" s="63"/>
      <c r="V29" s="63"/>
      <c r="W29" s="63"/>
      <c r="X29" s="63"/>
      <c r="Y29" s="63"/>
      <c r="Z29" s="63"/>
      <c r="AA29" s="63"/>
      <c r="AB29" s="63"/>
      <c r="AC29" s="63"/>
      <c r="AD29" s="63"/>
      <c r="AE29" s="63"/>
      <c r="AF29" s="63"/>
    </row>
    <row r="30" spans="1:32" x14ac:dyDescent="0.25">
      <c r="A30" s="63"/>
      <c r="B30" s="68"/>
      <c r="C30" s="80" t="s">
        <v>218</v>
      </c>
      <c r="D30" s="141">
        <f>IF($D$6="Consolidated",SUMIFS('IS GL Summary'!$F:$F,'IS GL Summary'!$B:$B,D$12,'IS GL Summary'!$G:$G,'Trending P&amp;L'!$C30),SUMIFS('IS GL Summary'!$F:$F,'IS GL Summary'!$B:$B,D$12,'IS GL Summary'!$G:$G,'Trending P&amp;L'!$C30,'IS GL Summary'!$E:$E,$D$6))</f>
        <v>55506.25</v>
      </c>
      <c r="E30" s="142">
        <f>IF($D$6="Consolidated",SUMIFS('IS GL Summary'!$F:$F,'IS GL Summary'!$B:$B,E$12,'IS GL Summary'!$G:$G,'Trending P&amp;L'!$C30),SUMIFS('IS GL Summary'!$F:$F,'IS GL Summary'!$B:$B,E$12,'IS GL Summary'!$G:$G,'Trending P&amp;L'!$C30,'IS GL Summary'!$E:$E,$D$6))</f>
        <v>56149.66</v>
      </c>
      <c r="F30" s="142">
        <f>IF($D$6="Consolidated",SUMIFS('IS GL Summary'!$F:$F,'IS GL Summary'!$B:$B,F$12,'IS GL Summary'!$G:$G,'Trending P&amp;L'!$C30),SUMIFS('IS GL Summary'!$F:$F,'IS GL Summary'!$B:$B,F$12,'IS GL Summary'!$G:$G,'Trending P&amp;L'!$C30,'IS GL Summary'!$E:$E,$D$6))</f>
        <v>53915.199999999997</v>
      </c>
      <c r="G30" s="142">
        <f>IF($D$6="Consolidated",SUMIFS('IS GL Summary'!$F:$F,'IS GL Summary'!$B:$B,G$12,'IS GL Summary'!$G:$G,'Trending P&amp;L'!$C30),SUMIFS('IS GL Summary'!$F:$F,'IS GL Summary'!$B:$B,G$12,'IS GL Summary'!$G:$G,'Trending P&amp;L'!$C30,'IS GL Summary'!$E:$E,$D$6))</f>
        <v>42601.770000000004</v>
      </c>
      <c r="H30" s="142">
        <f>IF($D$6="Consolidated",SUMIFS('IS GL Summary'!$F:$F,'IS GL Summary'!$B:$B,H$12,'IS GL Summary'!$G:$G,'Trending P&amp;L'!$C30),SUMIFS('IS GL Summary'!$F:$F,'IS GL Summary'!$B:$B,H$12,'IS GL Summary'!$G:$G,'Trending P&amp;L'!$C30,'IS GL Summary'!$E:$E,$D$6))</f>
        <v>41624.76</v>
      </c>
      <c r="I30" s="142">
        <f>IF($D$6="Consolidated",SUMIFS('IS GL Summary'!$F:$F,'IS GL Summary'!$B:$B,I$12,'IS GL Summary'!$G:$G,'Trending P&amp;L'!$C30),SUMIFS('IS GL Summary'!$F:$F,'IS GL Summary'!$B:$B,I$12,'IS GL Summary'!$G:$G,'Trending P&amp;L'!$C30,'IS GL Summary'!$E:$E,$D$6))</f>
        <v>41091.949999999997</v>
      </c>
      <c r="J30" s="142">
        <f>IF($D$6="Consolidated",SUMIFS('IS GL Summary'!$F:$F,'IS GL Summary'!$B:$B,J$12,'IS GL Summary'!$G:$G,'Trending P&amp;L'!$C30),SUMIFS('IS GL Summary'!$F:$F,'IS GL Summary'!$B:$B,J$12,'IS GL Summary'!$G:$G,'Trending P&amp;L'!$C30,'IS GL Summary'!$E:$E,$D$6))</f>
        <v>44566.689999999995</v>
      </c>
      <c r="K30" s="142">
        <f>IF($D$6="Consolidated",SUMIFS('IS GL Summary'!$F:$F,'IS GL Summary'!$B:$B,K$12,'IS GL Summary'!$G:$G,'Trending P&amp;L'!$C30),SUMIFS('IS GL Summary'!$F:$F,'IS GL Summary'!$B:$B,K$12,'IS GL Summary'!$G:$G,'Trending P&amp;L'!$C30,'IS GL Summary'!$E:$E,$D$6))</f>
        <v>57493.17</v>
      </c>
      <c r="L30" s="142">
        <f>IF($D$6="Consolidated",SUMIFS('IS GL Summary'!$F:$F,'IS GL Summary'!$B:$B,L$12,'IS GL Summary'!$G:$G,'Trending P&amp;L'!$C30),SUMIFS('IS GL Summary'!$F:$F,'IS GL Summary'!$B:$B,L$12,'IS GL Summary'!$G:$G,'Trending P&amp;L'!$C30,'IS GL Summary'!$E:$E,$D$6))</f>
        <v>43856.87</v>
      </c>
      <c r="M30" s="142">
        <f>IF($D$6="Consolidated",SUMIFS('IS GL Summary'!$F:$F,'IS GL Summary'!$B:$B,M$12,'IS GL Summary'!$G:$G,'Trending P&amp;L'!$C30),SUMIFS('IS GL Summary'!$F:$F,'IS GL Summary'!$B:$B,M$12,'IS GL Summary'!$G:$G,'Trending P&amp;L'!$C30,'IS GL Summary'!$E:$E,$D$6))</f>
        <v>44965.789999999994</v>
      </c>
      <c r="N30" s="142">
        <f>IF($D$6="Consolidated",SUMIFS('IS GL Summary'!$F:$F,'IS GL Summary'!$B:$B,N$12,'IS GL Summary'!$G:$G,'Trending P&amp;L'!$C30),SUMIFS('IS GL Summary'!$F:$F,'IS GL Summary'!$B:$B,N$12,'IS GL Summary'!$G:$G,'Trending P&amp;L'!$C30,'IS GL Summary'!$E:$E,$D$6))</f>
        <v>46540.219999999994</v>
      </c>
      <c r="O30" s="143">
        <f>IF($D$6="Consolidated",SUMIFS('IS GL Summary'!$F:$F,'IS GL Summary'!$B:$B,O$12,'IS GL Summary'!$G:$G,'Trending P&amp;L'!$C30),SUMIFS('IS GL Summary'!$F:$F,'IS GL Summary'!$B:$B,O$12,'IS GL Summary'!$G:$G,'Trending P&amp;L'!$C30,'IS GL Summary'!$E:$E,$D$6))</f>
        <v>41858.720000000001</v>
      </c>
      <c r="P30" s="74"/>
      <c r="Q30" s="63"/>
      <c r="R30" s="63"/>
      <c r="S30" s="63"/>
      <c r="T30" s="63"/>
      <c r="U30" s="63"/>
      <c r="V30" s="63"/>
      <c r="W30" s="63"/>
      <c r="X30" s="63"/>
      <c r="Y30" s="63"/>
      <c r="Z30" s="63"/>
      <c r="AA30" s="63"/>
      <c r="AB30" s="63"/>
      <c r="AC30" s="63"/>
      <c r="AD30" s="63"/>
      <c r="AE30" s="63"/>
      <c r="AF30" s="63"/>
    </row>
    <row r="31" spans="1:32" x14ac:dyDescent="0.25">
      <c r="A31" s="63"/>
      <c r="B31" s="68"/>
      <c r="C31" s="80" t="s">
        <v>219</v>
      </c>
      <c r="D31" s="141">
        <f>IF($D$6="Consolidated",SUMIFS('IS GL Summary'!$F:$F,'IS GL Summary'!$B:$B,D$12,'IS GL Summary'!$G:$G,'Trending P&amp;L'!$C31),SUMIFS('IS GL Summary'!$F:$F,'IS GL Summary'!$B:$B,D$12,'IS GL Summary'!$G:$G,'Trending P&amp;L'!$C31,'IS GL Summary'!$E:$E,$D$6))</f>
        <v>13385.699999999999</v>
      </c>
      <c r="E31" s="142">
        <f>IF($D$6="Consolidated",SUMIFS('IS GL Summary'!$F:$F,'IS GL Summary'!$B:$B,E$12,'IS GL Summary'!$G:$G,'Trending P&amp;L'!$C31),SUMIFS('IS GL Summary'!$F:$F,'IS GL Summary'!$B:$B,E$12,'IS GL Summary'!$G:$G,'Trending P&amp;L'!$C31,'IS GL Summary'!$E:$E,$D$6))</f>
        <v>11503.43</v>
      </c>
      <c r="F31" s="142">
        <f>IF($D$6="Consolidated",SUMIFS('IS GL Summary'!$F:$F,'IS GL Summary'!$B:$B,F$12,'IS GL Summary'!$G:$G,'Trending P&amp;L'!$C31),SUMIFS('IS GL Summary'!$F:$F,'IS GL Summary'!$B:$B,F$12,'IS GL Summary'!$G:$G,'Trending P&amp;L'!$C31,'IS GL Summary'!$E:$E,$D$6))</f>
        <v>33108.35</v>
      </c>
      <c r="G31" s="142">
        <f>IF($D$6="Consolidated",SUMIFS('IS GL Summary'!$F:$F,'IS GL Summary'!$B:$B,G$12,'IS GL Summary'!$G:$G,'Trending P&amp;L'!$C31),SUMIFS('IS GL Summary'!$F:$F,'IS GL Summary'!$B:$B,G$12,'IS GL Summary'!$G:$G,'Trending P&amp;L'!$C31,'IS GL Summary'!$E:$E,$D$6))</f>
        <v>32555.24</v>
      </c>
      <c r="H31" s="142">
        <f>IF($D$6="Consolidated",SUMIFS('IS GL Summary'!$F:$F,'IS GL Summary'!$B:$B,H$12,'IS GL Summary'!$G:$G,'Trending P&amp;L'!$C31),SUMIFS('IS GL Summary'!$F:$F,'IS GL Summary'!$B:$B,H$12,'IS GL Summary'!$G:$G,'Trending P&amp;L'!$C31,'IS GL Summary'!$E:$E,$D$6))</f>
        <v>36571.93</v>
      </c>
      <c r="I31" s="142">
        <f>IF($D$6="Consolidated",SUMIFS('IS GL Summary'!$F:$F,'IS GL Summary'!$B:$B,I$12,'IS GL Summary'!$G:$G,'Trending P&amp;L'!$C31),SUMIFS('IS GL Summary'!$F:$F,'IS GL Summary'!$B:$B,I$12,'IS GL Summary'!$G:$G,'Trending P&amp;L'!$C31,'IS GL Summary'!$E:$E,$D$6))</f>
        <v>6781.76</v>
      </c>
      <c r="J31" s="142">
        <f>IF($D$6="Consolidated",SUMIFS('IS GL Summary'!$F:$F,'IS GL Summary'!$B:$B,J$12,'IS GL Summary'!$G:$G,'Trending P&amp;L'!$C31),SUMIFS('IS GL Summary'!$F:$F,'IS GL Summary'!$B:$B,J$12,'IS GL Summary'!$G:$G,'Trending P&amp;L'!$C31,'IS GL Summary'!$E:$E,$D$6))</f>
        <v>5099.26</v>
      </c>
      <c r="K31" s="142">
        <f>IF($D$6="Consolidated",SUMIFS('IS GL Summary'!$F:$F,'IS GL Summary'!$B:$B,K$12,'IS GL Summary'!$G:$G,'Trending P&amp;L'!$C31),SUMIFS('IS GL Summary'!$F:$F,'IS GL Summary'!$B:$B,K$12,'IS GL Summary'!$G:$G,'Trending P&amp;L'!$C31,'IS GL Summary'!$E:$E,$D$6))</f>
        <v>10899.210000000001</v>
      </c>
      <c r="L31" s="142">
        <f>IF($D$6="Consolidated",SUMIFS('IS GL Summary'!$F:$F,'IS GL Summary'!$B:$B,L$12,'IS GL Summary'!$G:$G,'Trending P&amp;L'!$C31),SUMIFS('IS GL Summary'!$F:$F,'IS GL Summary'!$B:$B,L$12,'IS GL Summary'!$G:$G,'Trending P&amp;L'!$C31,'IS GL Summary'!$E:$E,$D$6))</f>
        <v>18132.449999999997</v>
      </c>
      <c r="M31" s="142">
        <f>IF($D$6="Consolidated",SUMIFS('IS GL Summary'!$F:$F,'IS GL Summary'!$B:$B,M$12,'IS GL Summary'!$G:$G,'Trending P&amp;L'!$C31),SUMIFS('IS GL Summary'!$F:$F,'IS GL Summary'!$B:$B,M$12,'IS GL Summary'!$G:$G,'Trending P&amp;L'!$C31,'IS GL Summary'!$E:$E,$D$6))</f>
        <v>9783.5300000000007</v>
      </c>
      <c r="N31" s="142">
        <f>IF($D$6="Consolidated",SUMIFS('IS GL Summary'!$F:$F,'IS GL Summary'!$B:$B,N$12,'IS GL Summary'!$G:$G,'Trending P&amp;L'!$C31),SUMIFS('IS GL Summary'!$F:$F,'IS GL Summary'!$B:$B,N$12,'IS GL Summary'!$G:$G,'Trending P&amp;L'!$C31,'IS GL Summary'!$E:$E,$D$6))</f>
        <v>14099.68</v>
      </c>
      <c r="O31" s="143">
        <f>IF($D$6="Consolidated",SUMIFS('IS GL Summary'!$F:$F,'IS GL Summary'!$B:$B,O$12,'IS GL Summary'!$G:$G,'Trending P&amp;L'!$C31),SUMIFS('IS GL Summary'!$F:$F,'IS GL Summary'!$B:$B,O$12,'IS GL Summary'!$G:$G,'Trending P&amp;L'!$C31,'IS GL Summary'!$E:$E,$D$6))</f>
        <v>2447.35</v>
      </c>
      <c r="P31" s="74"/>
      <c r="Q31" s="63"/>
      <c r="R31" s="63"/>
      <c r="S31" s="63"/>
      <c r="T31" s="63"/>
      <c r="U31" s="63"/>
      <c r="V31" s="63"/>
      <c r="W31" s="63"/>
      <c r="X31" s="63"/>
      <c r="Y31" s="63"/>
      <c r="Z31" s="63"/>
      <c r="AA31" s="63"/>
      <c r="AB31" s="63"/>
      <c r="AC31" s="63"/>
      <c r="AD31" s="63"/>
      <c r="AE31" s="63"/>
      <c r="AF31" s="63"/>
    </row>
    <row r="32" spans="1:32" x14ac:dyDescent="0.25">
      <c r="A32" s="63"/>
      <c r="B32" s="68"/>
      <c r="C32" s="80" t="s">
        <v>222</v>
      </c>
      <c r="D32" s="141">
        <f>IF($D$6="Consolidated",SUMIFS('IS GL Summary'!$F:$F,'IS GL Summary'!$B:$B,D$12,'IS GL Summary'!$G:$G,'Trending P&amp;L'!$C32),SUMIFS('IS GL Summary'!$F:$F,'IS GL Summary'!$B:$B,D$12,'IS GL Summary'!$G:$G,'Trending P&amp;L'!$C32,'IS GL Summary'!$E:$E,$D$6))</f>
        <v>4403.2299999999996</v>
      </c>
      <c r="E32" s="142">
        <f>IF($D$6="Consolidated",SUMIFS('IS GL Summary'!$F:$F,'IS GL Summary'!$B:$B,E$12,'IS GL Summary'!$G:$G,'Trending P&amp;L'!$C32),SUMIFS('IS GL Summary'!$F:$F,'IS GL Summary'!$B:$B,E$12,'IS GL Summary'!$G:$G,'Trending P&amp;L'!$C32,'IS GL Summary'!$E:$E,$D$6))</f>
        <v>6174.8600000000006</v>
      </c>
      <c r="F32" s="142">
        <f>IF($D$6="Consolidated",SUMIFS('IS GL Summary'!$F:$F,'IS GL Summary'!$B:$B,F$12,'IS GL Summary'!$G:$G,'Trending P&amp;L'!$C32),SUMIFS('IS GL Summary'!$F:$F,'IS GL Summary'!$B:$B,F$12,'IS GL Summary'!$G:$G,'Trending P&amp;L'!$C32,'IS GL Summary'!$E:$E,$D$6))</f>
        <v>260</v>
      </c>
      <c r="G32" s="142">
        <f>IF($D$6="Consolidated",SUMIFS('IS GL Summary'!$F:$F,'IS GL Summary'!$B:$B,G$12,'IS GL Summary'!$G:$G,'Trending P&amp;L'!$C32),SUMIFS('IS GL Summary'!$F:$F,'IS GL Summary'!$B:$B,G$12,'IS GL Summary'!$G:$G,'Trending P&amp;L'!$C32,'IS GL Summary'!$E:$E,$D$6))</f>
        <v>362</v>
      </c>
      <c r="H32" s="142">
        <f>IF($D$6="Consolidated",SUMIFS('IS GL Summary'!$F:$F,'IS GL Summary'!$B:$B,H$12,'IS GL Summary'!$G:$G,'Trending P&amp;L'!$C32),SUMIFS('IS GL Summary'!$F:$F,'IS GL Summary'!$B:$B,H$12,'IS GL Summary'!$G:$G,'Trending P&amp;L'!$C32,'IS GL Summary'!$E:$E,$D$6))</f>
        <v>1717.17</v>
      </c>
      <c r="I32" s="142">
        <f>IF($D$6="Consolidated",SUMIFS('IS GL Summary'!$F:$F,'IS GL Summary'!$B:$B,I$12,'IS GL Summary'!$G:$G,'Trending P&amp;L'!$C32),SUMIFS('IS GL Summary'!$F:$F,'IS GL Summary'!$B:$B,I$12,'IS GL Summary'!$G:$G,'Trending P&amp;L'!$C32,'IS GL Summary'!$E:$E,$D$6))</f>
        <v>1035.94</v>
      </c>
      <c r="J32" s="142">
        <f>IF($D$6="Consolidated",SUMIFS('IS GL Summary'!$F:$F,'IS GL Summary'!$B:$B,J$12,'IS GL Summary'!$G:$G,'Trending P&amp;L'!$C32),SUMIFS('IS GL Summary'!$F:$F,'IS GL Summary'!$B:$B,J$12,'IS GL Summary'!$G:$G,'Trending P&amp;L'!$C32,'IS GL Summary'!$E:$E,$D$6))</f>
        <v>1531.07</v>
      </c>
      <c r="K32" s="142">
        <f>IF($D$6="Consolidated",SUMIFS('IS GL Summary'!$F:$F,'IS GL Summary'!$B:$B,K$12,'IS GL Summary'!$G:$G,'Trending P&amp;L'!$C32),SUMIFS('IS GL Summary'!$F:$F,'IS GL Summary'!$B:$B,K$12,'IS GL Summary'!$G:$G,'Trending P&amp;L'!$C32,'IS GL Summary'!$E:$E,$D$6))</f>
        <v>900.92000000000007</v>
      </c>
      <c r="L32" s="142">
        <f>IF($D$6="Consolidated",SUMIFS('IS GL Summary'!$F:$F,'IS GL Summary'!$B:$B,L$12,'IS GL Summary'!$G:$G,'Trending P&amp;L'!$C32),SUMIFS('IS GL Summary'!$F:$F,'IS GL Summary'!$B:$B,L$12,'IS GL Summary'!$G:$G,'Trending P&amp;L'!$C32,'IS GL Summary'!$E:$E,$D$6))</f>
        <v>3267.6500000000005</v>
      </c>
      <c r="M32" s="142">
        <f>IF($D$6="Consolidated",SUMIFS('IS GL Summary'!$F:$F,'IS GL Summary'!$B:$B,M$12,'IS GL Summary'!$G:$G,'Trending P&amp;L'!$C32),SUMIFS('IS GL Summary'!$F:$F,'IS GL Summary'!$B:$B,M$12,'IS GL Summary'!$G:$G,'Trending P&amp;L'!$C32,'IS GL Summary'!$E:$E,$D$6))</f>
        <v>8738.75</v>
      </c>
      <c r="N32" s="142">
        <f>IF($D$6="Consolidated",SUMIFS('IS GL Summary'!$F:$F,'IS GL Summary'!$B:$B,N$12,'IS GL Summary'!$G:$G,'Trending P&amp;L'!$C32),SUMIFS('IS GL Summary'!$F:$F,'IS GL Summary'!$B:$B,N$12,'IS GL Summary'!$G:$G,'Trending P&amp;L'!$C32,'IS GL Summary'!$E:$E,$D$6))</f>
        <v>400.72</v>
      </c>
      <c r="O32" s="143">
        <f>IF($D$6="Consolidated",SUMIFS('IS GL Summary'!$F:$F,'IS GL Summary'!$B:$B,O$12,'IS GL Summary'!$G:$G,'Trending P&amp;L'!$C32),SUMIFS('IS GL Summary'!$F:$F,'IS GL Summary'!$B:$B,O$12,'IS GL Summary'!$G:$G,'Trending P&amp;L'!$C32,'IS GL Summary'!$E:$E,$D$6))</f>
        <v>1457.42</v>
      </c>
      <c r="P32" s="74"/>
      <c r="Q32" s="63"/>
      <c r="R32" s="63"/>
      <c r="S32" s="63"/>
      <c r="T32" s="63"/>
      <c r="U32" s="63"/>
      <c r="V32" s="63"/>
      <c r="W32" s="63"/>
      <c r="X32" s="63"/>
      <c r="Y32" s="63"/>
      <c r="Z32" s="63"/>
      <c r="AA32" s="63"/>
      <c r="AB32" s="63"/>
      <c r="AC32" s="63"/>
      <c r="AD32" s="63"/>
      <c r="AE32" s="63"/>
      <c r="AF32" s="63"/>
    </row>
    <row r="33" spans="1:32" x14ac:dyDescent="0.25">
      <c r="A33" s="63"/>
      <c r="B33" s="68"/>
      <c r="C33" s="80" t="s">
        <v>126</v>
      </c>
      <c r="D33" s="141">
        <f>IF($D$6="Consolidated",SUMIFS('IS GL Summary'!$F:$F,'IS GL Summary'!$B:$B,D$12,'IS GL Summary'!$G:$G,'Trending P&amp;L'!$C33),SUMIFS('IS GL Summary'!$F:$F,'IS GL Summary'!$B:$B,D$12,'IS GL Summary'!$G:$G,'Trending P&amp;L'!$C33,'IS GL Summary'!$E:$E,$D$6))</f>
        <v>2490.19</v>
      </c>
      <c r="E33" s="142">
        <f>IF($D$6="Consolidated",SUMIFS('IS GL Summary'!$F:$F,'IS GL Summary'!$B:$B,E$12,'IS GL Summary'!$G:$G,'Trending P&amp;L'!$C33),SUMIFS('IS GL Summary'!$F:$F,'IS GL Summary'!$B:$B,E$12,'IS GL Summary'!$G:$G,'Trending P&amp;L'!$C33,'IS GL Summary'!$E:$E,$D$6))</f>
        <v>2711.4</v>
      </c>
      <c r="F33" s="142">
        <f>IF($D$6="Consolidated",SUMIFS('IS GL Summary'!$F:$F,'IS GL Summary'!$B:$B,F$12,'IS GL Summary'!$G:$G,'Trending P&amp;L'!$C33),SUMIFS('IS GL Summary'!$F:$F,'IS GL Summary'!$B:$B,F$12,'IS GL Summary'!$G:$G,'Trending P&amp;L'!$C33,'IS GL Summary'!$E:$E,$D$6))</f>
        <v>1398.99</v>
      </c>
      <c r="G33" s="142">
        <f>IF($D$6="Consolidated",SUMIFS('IS GL Summary'!$F:$F,'IS GL Summary'!$B:$B,G$12,'IS GL Summary'!$G:$G,'Trending P&amp;L'!$C33),SUMIFS('IS GL Summary'!$F:$F,'IS GL Summary'!$B:$B,G$12,'IS GL Summary'!$G:$G,'Trending P&amp;L'!$C33,'IS GL Summary'!$E:$E,$D$6))</f>
        <v>1846.24</v>
      </c>
      <c r="H33" s="142">
        <f>IF($D$6="Consolidated",SUMIFS('IS GL Summary'!$F:$F,'IS GL Summary'!$B:$B,H$12,'IS GL Summary'!$G:$G,'Trending P&amp;L'!$C33),SUMIFS('IS GL Summary'!$F:$F,'IS GL Summary'!$B:$B,H$12,'IS GL Summary'!$G:$G,'Trending P&amp;L'!$C33,'IS GL Summary'!$E:$E,$D$6))</f>
        <v>2140.91</v>
      </c>
      <c r="I33" s="142">
        <f>IF($D$6="Consolidated",SUMIFS('IS GL Summary'!$F:$F,'IS GL Summary'!$B:$B,I$12,'IS GL Summary'!$G:$G,'Trending P&amp;L'!$C33),SUMIFS('IS GL Summary'!$F:$F,'IS GL Summary'!$B:$B,I$12,'IS GL Summary'!$G:$G,'Trending P&amp;L'!$C33,'IS GL Summary'!$E:$E,$D$6))</f>
        <v>1390.07</v>
      </c>
      <c r="J33" s="142">
        <f>IF($D$6="Consolidated",SUMIFS('IS GL Summary'!$F:$F,'IS GL Summary'!$B:$B,J$12,'IS GL Summary'!$G:$G,'Trending P&amp;L'!$C33),SUMIFS('IS GL Summary'!$F:$F,'IS GL Summary'!$B:$B,J$12,'IS GL Summary'!$G:$G,'Trending P&amp;L'!$C33,'IS GL Summary'!$E:$E,$D$6))</f>
        <v>196.74999999999997</v>
      </c>
      <c r="K33" s="142">
        <f>IF($D$6="Consolidated",SUMIFS('IS GL Summary'!$F:$F,'IS GL Summary'!$B:$B,K$12,'IS GL Summary'!$G:$G,'Trending P&amp;L'!$C33),SUMIFS('IS GL Summary'!$F:$F,'IS GL Summary'!$B:$B,K$12,'IS GL Summary'!$G:$G,'Trending P&amp;L'!$C33,'IS GL Summary'!$E:$E,$D$6))</f>
        <v>4315.1000000000004</v>
      </c>
      <c r="L33" s="142">
        <f>IF($D$6="Consolidated",SUMIFS('IS GL Summary'!$F:$F,'IS GL Summary'!$B:$B,L$12,'IS GL Summary'!$G:$G,'Trending P&amp;L'!$C33),SUMIFS('IS GL Summary'!$F:$F,'IS GL Summary'!$B:$B,L$12,'IS GL Summary'!$G:$G,'Trending P&amp;L'!$C33,'IS GL Summary'!$E:$E,$D$6))</f>
        <v>3060.92</v>
      </c>
      <c r="M33" s="142">
        <f>IF($D$6="Consolidated",SUMIFS('IS GL Summary'!$F:$F,'IS GL Summary'!$B:$B,M$12,'IS GL Summary'!$G:$G,'Trending P&amp;L'!$C33),SUMIFS('IS GL Summary'!$F:$F,'IS GL Summary'!$B:$B,M$12,'IS GL Summary'!$G:$G,'Trending P&amp;L'!$C33,'IS GL Summary'!$E:$E,$D$6))</f>
        <v>886.66000000000008</v>
      </c>
      <c r="N33" s="142">
        <f>IF($D$6="Consolidated",SUMIFS('IS GL Summary'!$F:$F,'IS GL Summary'!$B:$B,N$12,'IS GL Summary'!$G:$G,'Trending P&amp;L'!$C33),SUMIFS('IS GL Summary'!$F:$F,'IS GL Summary'!$B:$B,N$12,'IS GL Summary'!$G:$G,'Trending P&amp;L'!$C33,'IS GL Summary'!$E:$E,$D$6))</f>
        <v>1310.6299999999999</v>
      </c>
      <c r="O33" s="143">
        <f>IF($D$6="Consolidated",SUMIFS('IS GL Summary'!$F:$F,'IS GL Summary'!$B:$B,O$12,'IS GL Summary'!$G:$G,'Trending P&amp;L'!$C33),SUMIFS('IS GL Summary'!$F:$F,'IS GL Summary'!$B:$B,O$12,'IS GL Summary'!$G:$G,'Trending P&amp;L'!$C33,'IS GL Summary'!$E:$E,$D$6))</f>
        <v>538.52</v>
      </c>
      <c r="P33" s="74"/>
      <c r="Q33" s="63"/>
      <c r="R33" s="63"/>
      <c r="S33" s="63"/>
      <c r="T33" s="63"/>
      <c r="U33" s="63"/>
      <c r="V33" s="63"/>
      <c r="W33" s="63"/>
      <c r="X33" s="63"/>
      <c r="Y33" s="63"/>
      <c r="Z33" s="63"/>
      <c r="AA33" s="63"/>
      <c r="AB33" s="63"/>
      <c r="AC33" s="63"/>
      <c r="AD33" s="63"/>
      <c r="AE33" s="63"/>
      <c r="AF33" s="63"/>
    </row>
    <row r="34" spans="1:32" x14ac:dyDescent="0.25">
      <c r="A34" s="63"/>
      <c r="B34" s="68"/>
      <c r="C34" s="80" t="s">
        <v>221</v>
      </c>
      <c r="D34" s="141">
        <f>IF($D$6="Consolidated",SUMIFS('IS GL Summary'!$F:$F,'IS GL Summary'!$B:$B,D$12,'IS GL Summary'!$G:$G,'Trending P&amp;L'!$C34),SUMIFS('IS GL Summary'!$F:$F,'IS GL Summary'!$B:$B,D$12,'IS GL Summary'!$G:$G,'Trending P&amp;L'!$C34,'IS GL Summary'!$E:$E,$D$6))</f>
        <v>697.38000000000011</v>
      </c>
      <c r="E34" s="142">
        <f>IF($D$6="Consolidated",SUMIFS('IS GL Summary'!$F:$F,'IS GL Summary'!$B:$B,E$12,'IS GL Summary'!$G:$G,'Trending P&amp;L'!$C34),SUMIFS('IS GL Summary'!$F:$F,'IS GL Summary'!$B:$B,E$12,'IS GL Summary'!$G:$G,'Trending P&amp;L'!$C34,'IS GL Summary'!$E:$E,$D$6))</f>
        <v>1072.21</v>
      </c>
      <c r="F34" s="142">
        <f>IF($D$6="Consolidated",SUMIFS('IS GL Summary'!$F:$F,'IS GL Summary'!$B:$B,F$12,'IS GL Summary'!$G:$G,'Trending P&amp;L'!$C34),SUMIFS('IS GL Summary'!$F:$F,'IS GL Summary'!$B:$B,F$12,'IS GL Summary'!$G:$G,'Trending P&amp;L'!$C34,'IS GL Summary'!$E:$E,$D$6))</f>
        <v>1439.86</v>
      </c>
      <c r="G34" s="142">
        <f>IF($D$6="Consolidated",SUMIFS('IS GL Summary'!$F:$F,'IS GL Summary'!$B:$B,G$12,'IS GL Summary'!$G:$G,'Trending P&amp;L'!$C34),SUMIFS('IS GL Summary'!$F:$F,'IS GL Summary'!$B:$B,G$12,'IS GL Summary'!$G:$G,'Trending P&amp;L'!$C34,'IS GL Summary'!$E:$E,$D$6))</f>
        <v>1856.1499999999999</v>
      </c>
      <c r="H34" s="142">
        <f>IF($D$6="Consolidated",SUMIFS('IS GL Summary'!$F:$F,'IS GL Summary'!$B:$B,H$12,'IS GL Summary'!$G:$G,'Trending P&amp;L'!$C34),SUMIFS('IS GL Summary'!$F:$F,'IS GL Summary'!$B:$B,H$12,'IS GL Summary'!$G:$G,'Trending P&amp;L'!$C34,'IS GL Summary'!$E:$E,$D$6))</f>
        <v>0</v>
      </c>
      <c r="I34" s="142">
        <f>IF($D$6="Consolidated",SUMIFS('IS GL Summary'!$F:$F,'IS GL Summary'!$B:$B,I$12,'IS GL Summary'!$G:$G,'Trending P&amp;L'!$C34),SUMIFS('IS GL Summary'!$F:$F,'IS GL Summary'!$B:$B,I$12,'IS GL Summary'!$G:$G,'Trending P&amp;L'!$C34,'IS GL Summary'!$E:$E,$D$6))</f>
        <v>2303.81</v>
      </c>
      <c r="J34" s="142">
        <f>IF($D$6="Consolidated",SUMIFS('IS GL Summary'!$F:$F,'IS GL Summary'!$B:$B,J$12,'IS GL Summary'!$G:$G,'Trending P&amp;L'!$C34),SUMIFS('IS GL Summary'!$F:$F,'IS GL Summary'!$B:$B,J$12,'IS GL Summary'!$G:$G,'Trending P&amp;L'!$C34,'IS GL Summary'!$E:$E,$D$6))</f>
        <v>1685.37</v>
      </c>
      <c r="K34" s="142">
        <f>IF($D$6="Consolidated",SUMIFS('IS GL Summary'!$F:$F,'IS GL Summary'!$B:$B,K$12,'IS GL Summary'!$G:$G,'Trending P&amp;L'!$C34),SUMIFS('IS GL Summary'!$F:$F,'IS GL Summary'!$B:$B,K$12,'IS GL Summary'!$G:$G,'Trending P&amp;L'!$C34,'IS GL Summary'!$E:$E,$D$6))</f>
        <v>2086.75</v>
      </c>
      <c r="L34" s="142">
        <f>IF($D$6="Consolidated",SUMIFS('IS GL Summary'!$F:$F,'IS GL Summary'!$B:$B,L$12,'IS GL Summary'!$G:$G,'Trending P&amp;L'!$C34),SUMIFS('IS GL Summary'!$F:$F,'IS GL Summary'!$B:$B,L$12,'IS GL Summary'!$G:$G,'Trending P&amp;L'!$C34,'IS GL Summary'!$E:$E,$D$6))</f>
        <v>1294.92</v>
      </c>
      <c r="M34" s="142">
        <f>IF($D$6="Consolidated",SUMIFS('IS GL Summary'!$F:$F,'IS GL Summary'!$B:$B,M$12,'IS GL Summary'!$G:$G,'Trending P&amp;L'!$C34),SUMIFS('IS GL Summary'!$F:$F,'IS GL Summary'!$B:$B,M$12,'IS GL Summary'!$G:$G,'Trending P&amp;L'!$C34,'IS GL Summary'!$E:$E,$D$6))</f>
        <v>0</v>
      </c>
      <c r="N34" s="142">
        <f>IF($D$6="Consolidated",SUMIFS('IS GL Summary'!$F:$F,'IS GL Summary'!$B:$B,N$12,'IS GL Summary'!$G:$G,'Trending P&amp;L'!$C34),SUMIFS('IS GL Summary'!$F:$F,'IS GL Summary'!$B:$B,N$12,'IS GL Summary'!$G:$G,'Trending P&amp;L'!$C34,'IS GL Summary'!$E:$E,$D$6))</f>
        <v>95.35</v>
      </c>
      <c r="O34" s="143">
        <f>IF($D$6="Consolidated",SUMIFS('IS GL Summary'!$F:$F,'IS GL Summary'!$B:$B,O$12,'IS GL Summary'!$G:$G,'Trending P&amp;L'!$C34),SUMIFS('IS GL Summary'!$F:$F,'IS GL Summary'!$B:$B,O$12,'IS GL Summary'!$G:$G,'Trending P&amp;L'!$C34,'IS GL Summary'!$E:$E,$D$6))</f>
        <v>2189.71</v>
      </c>
      <c r="P34" s="74"/>
      <c r="Q34" s="63"/>
      <c r="R34" s="63"/>
      <c r="S34" s="63"/>
      <c r="T34" s="63"/>
      <c r="U34" s="63"/>
      <c r="V34" s="63"/>
      <c r="W34" s="63"/>
      <c r="X34" s="63"/>
      <c r="Y34" s="63"/>
      <c r="Z34" s="63"/>
      <c r="AA34" s="63"/>
      <c r="AB34" s="63"/>
      <c r="AC34" s="63"/>
      <c r="AD34" s="63"/>
      <c r="AE34" s="63"/>
      <c r="AF34" s="63"/>
    </row>
    <row r="35" spans="1:32" x14ac:dyDescent="0.25">
      <c r="A35" s="63"/>
      <c r="B35" s="68"/>
      <c r="C35" s="80" t="s">
        <v>220</v>
      </c>
      <c r="D35" s="141">
        <f>IF($D$6="Consolidated",SUMIFS('IS GL Summary'!$F:$F,'IS GL Summary'!$B:$B,D$12,'IS GL Summary'!$G:$G,'Trending P&amp;L'!$C35),SUMIFS('IS GL Summary'!$F:$F,'IS GL Summary'!$B:$B,D$12,'IS GL Summary'!$G:$G,'Trending P&amp;L'!$C35,'IS GL Summary'!$E:$E,$D$6))</f>
        <v>28.88</v>
      </c>
      <c r="E35" s="142">
        <f>IF($D$6="Consolidated",SUMIFS('IS GL Summary'!$F:$F,'IS GL Summary'!$B:$B,E$12,'IS GL Summary'!$G:$G,'Trending P&amp;L'!$C35),SUMIFS('IS GL Summary'!$F:$F,'IS GL Summary'!$B:$B,E$12,'IS GL Summary'!$G:$G,'Trending P&amp;L'!$C35,'IS GL Summary'!$E:$E,$D$6))</f>
        <v>0</v>
      </c>
      <c r="F35" s="142">
        <f>IF($D$6="Consolidated",SUMIFS('IS GL Summary'!$F:$F,'IS GL Summary'!$B:$B,F$12,'IS GL Summary'!$G:$G,'Trending P&amp;L'!$C35),SUMIFS('IS GL Summary'!$F:$F,'IS GL Summary'!$B:$B,F$12,'IS GL Summary'!$G:$G,'Trending P&amp;L'!$C35,'IS GL Summary'!$E:$E,$D$6))</f>
        <v>0</v>
      </c>
      <c r="G35" s="142">
        <f>IF($D$6="Consolidated",SUMIFS('IS GL Summary'!$F:$F,'IS GL Summary'!$B:$B,G$12,'IS GL Summary'!$G:$G,'Trending P&amp;L'!$C35),SUMIFS('IS GL Summary'!$F:$F,'IS GL Summary'!$B:$B,G$12,'IS GL Summary'!$G:$G,'Trending P&amp;L'!$C35,'IS GL Summary'!$E:$E,$D$6))</f>
        <v>0</v>
      </c>
      <c r="H35" s="142">
        <f>IF($D$6="Consolidated",SUMIFS('IS GL Summary'!$F:$F,'IS GL Summary'!$B:$B,H$12,'IS GL Summary'!$G:$G,'Trending P&amp;L'!$C35),SUMIFS('IS GL Summary'!$F:$F,'IS GL Summary'!$B:$B,H$12,'IS GL Summary'!$G:$G,'Trending P&amp;L'!$C35,'IS GL Summary'!$E:$E,$D$6))</f>
        <v>50</v>
      </c>
      <c r="I35" s="142">
        <f>IF($D$6="Consolidated",SUMIFS('IS GL Summary'!$F:$F,'IS GL Summary'!$B:$B,I$12,'IS GL Summary'!$G:$G,'Trending P&amp;L'!$C35),SUMIFS('IS GL Summary'!$F:$F,'IS GL Summary'!$B:$B,I$12,'IS GL Summary'!$G:$G,'Trending P&amp;L'!$C35,'IS GL Summary'!$E:$E,$D$6))</f>
        <v>6466.5199999999995</v>
      </c>
      <c r="J35" s="142">
        <f>IF($D$6="Consolidated",SUMIFS('IS GL Summary'!$F:$F,'IS GL Summary'!$B:$B,J$12,'IS GL Summary'!$G:$G,'Trending P&amp;L'!$C35),SUMIFS('IS GL Summary'!$F:$F,'IS GL Summary'!$B:$B,J$12,'IS GL Summary'!$G:$G,'Trending P&amp;L'!$C35,'IS GL Summary'!$E:$E,$D$6))</f>
        <v>70.289999999999992</v>
      </c>
      <c r="K35" s="142">
        <f>IF($D$6="Consolidated",SUMIFS('IS GL Summary'!$F:$F,'IS GL Summary'!$B:$B,K$12,'IS GL Summary'!$G:$G,'Trending P&amp;L'!$C35),SUMIFS('IS GL Summary'!$F:$F,'IS GL Summary'!$B:$B,K$12,'IS GL Summary'!$G:$G,'Trending P&amp;L'!$C35,'IS GL Summary'!$E:$E,$D$6))</f>
        <v>74.94</v>
      </c>
      <c r="L35" s="142">
        <f>IF($D$6="Consolidated",SUMIFS('IS GL Summary'!$F:$F,'IS GL Summary'!$B:$B,L$12,'IS GL Summary'!$G:$G,'Trending P&amp;L'!$C35),SUMIFS('IS GL Summary'!$F:$F,'IS GL Summary'!$B:$B,L$12,'IS GL Summary'!$G:$G,'Trending P&amp;L'!$C35,'IS GL Summary'!$E:$E,$D$6))</f>
        <v>59.95</v>
      </c>
      <c r="M35" s="142">
        <f>IF($D$6="Consolidated",SUMIFS('IS GL Summary'!$F:$F,'IS GL Summary'!$B:$B,M$12,'IS GL Summary'!$G:$G,'Trending P&amp;L'!$C35),SUMIFS('IS GL Summary'!$F:$F,'IS GL Summary'!$B:$B,M$12,'IS GL Summary'!$G:$G,'Trending P&amp;L'!$C35,'IS GL Summary'!$E:$E,$D$6))</f>
        <v>-90.7</v>
      </c>
      <c r="N35" s="142">
        <f>IF($D$6="Consolidated",SUMIFS('IS GL Summary'!$F:$F,'IS GL Summary'!$B:$B,N$12,'IS GL Summary'!$G:$G,'Trending P&amp;L'!$C35),SUMIFS('IS GL Summary'!$F:$F,'IS GL Summary'!$B:$B,N$12,'IS GL Summary'!$G:$G,'Trending P&amp;L'!$C35,'IS GL Summary'!$E:$E,$D$6))</f>
        <v>2996.99</v>
      </c>
      <c r="O35" s="143">
        <f>IF($D$6="Consolidated",SUMIFS('IS GL Summary'!$F:$F,'IS GL Summary'!$B:$B,O$12,'IS GL Summary'!$G:$G,'Trending P&amp;L'!$C35),SUMIFS('IS GL Summary'!$F:$F,'IS GL Summary'!$B:$B,O$12,'IS GL Summary'!$G:$G,'Trending P&amp;L'!$C35,'IS GL Summary'!$E:$E,$D$6))</f>
        <v>311</v>
      </c>
      <c r="P35" s="74"/>
      <c r="Q35" s="63"/>
      <c r="R35" s="63"/>
      <c r="S35" s="63"/>
      <c r="T35" s="63"/>
      <c r="U35" s="63"/>
      <c r="V35" s="63"/>
      <c r="W35" s="63"/>
      <c r="X35" s="63"/>
      <c r="Y35" s="63"/>
      <c r="Z35" s="63"/>
      <c r="AA35" s="63"/>
      <c r="AB35" s="63"/>
      <c r="AC35" s="63"/>
      <c r="AD35" s="63"/>
      <c r="AE35" s="63"/>
      <c r="AF35" s="63"/>
    </row>
    <row r="36" spans="1:32" x14ac:dyDescent="0.25">
      <c r="A36" s="63"/>
      <c r="B36" s="68"/>
      <c r="C36" s="80" t="s">
        <v>223</v>
      </c>
      <c r="D36" s="141">
        <f>IF($D$6="Consolidated",SUMIFS('IS GL Summary'!$F:$F,'IS GL Summary'!$B:$B,D$12,'IS GL Summary'!$G:$G,'Trending P&amp;L'!$C36),SUMIFS('IS GL Summary'!$F:$F,'IS GL Summary'!$B:$B,D$12,'IS GL Summary'!$G:$G,'Trending P&amp;L'!$C36,'IS GL Summary'!$E:$E,$D$6))</f>
        <v>1469.3600000000001</v>
      </c>
      <c r="E36" s="142">
        <f>IF($D$6="Consolidated",SUMIFS('IS GL Summary'!$F:$F,'IS GL Summary'!$B:$B,E$12,'IS GL Summary'!$G:$G,'Trending P&amp;L'!$C36),SUMIFS('IS GL Summary'!$F:$F,'IS GL Summary'!$B:$B,E$12,'IS GL Summary'!$G:$G,'Trending P&amp;L'!$C36,'IS GL Summary'!$E:$E,$D$6))</f>
        <v>713.61</v>
      </c>
      <c r="F36" s="142">
        <f>IF($D$6="Consolidated",SUMIFS('IS GL Summary'!$F:$F,'IS GL Summary'!$B:$B,F$12,'IS GL Summary'!$G:$G,'Trending P&amp;L'!$C36),SUMIFS('IS GL Summary'!$F:$F,'IS GL Summary'!$B:$B,F$12,'IS GL Summary'!$G:$G,'Trending P&amp;L'!$C36,'IS GL Summary'!$E:$E,$D$6))</f>
        <v>713.61</v>
      </c>
      <c r="G36" s="142">
        <f>IF($D$6="Consolidated",SUMIFS('IS GL Summary'!$F:$F,'IS GL Summary'!$B:$B,G$12,'IS GL Summary'!$G:$G,'Trending P&amp;L'!$C36),SUMIFS('IS GL Summary'!$F:$F,'IS GL Summary'!$B:$B,G$12,'IS GL Summary'!$G:$G,'Trending P&amp;L'!$C36,'IS GL Summary'!$E:$E,$D$6))</f>
        <v>500</v>
      </c>
      <c r="H36" s="142">
        <f>IF($D$6="Consolidated",SUMIFS('IS GL Summary'!$F:$F,'IS GL Summary'!$B:$B,H$12,'IS GL Summary'!$G:$G,'Trending P&amp;L'!$C36),SUMIFS('IS GL Summary'!$F:$F,'IS GL Summary'!$B:$B,H$12,'IS GL Summary'!$G:$G,'Trending P&amp;L'!$C36,'IS GL Summary'!$E:$E,$D$6))</f>
        <v>0</v>
      </c>
      <c r="I36" s="142">
        <f>IF($D$6="Consolidated",SUMIFS('IS GL Summary'!$F:$F,'IS GL Summary'!$B:$B,I$12,'IS GL Summary'!$G:$G,'Trending P&amp;L'!$C36),SUMIFS('IS GL Summary'!$F:$F,'IS GL Summary'!$B:$B,I$12,'IS GL Summary'!$G:$G,'Trending P&amp;L'!$C36,'IS GL Summary'!$E:$E,$D$6))</f>
        <v>4743.9799999999996</v>
      </c>
      <c r="J36" s="142">
        <f>IF($D$6="Consolidated",SUMIFS('IS GL Summary'!$F:$F,'IS GL Summary'!$B:$B,J$12,'IS GL Summary'!$G:$G,'Trending P&amp;L'!$C36),SUMIFS('IS GL Summary'!$F:$F,'IS GL Summary'!$B:$B,J$12,'IS GL Summary'!$G:$G,'Trending P&amp;L'!$C36,'IS GL Summary'!$E:$E,$D$6))</f>
        <v>755.75</v>
      </c>
      <c r="K36" s="142">
        <f>IF($D$6="Consolidated",SUMIFS('IS GL Summary'!$F:$F,'IS GL Summary'!$B:$B,K$12,'IS GL Summary'!$G:$G,'Trending P&amp;L'!$C36),SUMIFS('IS GL Summary'!$F:$F,'IS GL Summary'!$B:$B,K$12,'IS GL Summary'!$G:$G,'Trending P&amp;L'!$C36,'IS GL Summary'!$E:$E,$D$6))</f>
        <v>0</v>
      </c>
      <c r="L36" s="142">
        <f>IF($D$6="Consolidated",SUMIFS('IS GL Summary'!$F:$F,'IS GL Summary'!$B:$B,L$12,'IS GL Summary'!$G:$G,'Trending P&amp;L'!$C36),SUMIFS('IS GL Summary'!$F:$F,'IS GL Summary'!$B:$B,L$12,'IS GL Summary'!$G:$G,'Trending P&amp;L'!$C36,'IS GL Summary'!$E:$E,$D$6))</f>
        <v>0</v>
      </c>
      <c r="M36" s="142">
        <f>IF($D$6="Consolidated",SUMIFS('IS GL Summary'!$F:$F,'IS GL Summary'!$B:$B,M$12,'IS GL Summary'!$G:$G,'Trending P&amp;L'!$C36),SUMIFS('IS GL Summary'!$F:$F,'IS GL Summary'!$B:$B,M$12,'IS GL Summary'!$G:$G,'Trending P&amp;L'!$C36,'IS GL Summary'!$E:$E,$D$6))</f>
        <v>755.75</v>
      </c>
      <c r="N36" s="142">
        <f>IF($D$6="Consolidated",SUMIFS('IS GL Summary'!$F:$F,'IS GL Summary'!$B:$B,N$12,'IS GL Summary'!$G:$G,'Trending P&amp;L'!$C36),SUMIFS('IS GL Summary'!$F:$F,'IS GL Summary'!$B:$B,N$12,'IS GL Summary'!$G:$G,'Trending P&amp;L'!$C36,'IS GL Summary'!$E:$E,$D$6))</f>
        <v>0</v>
      </c>
      <c r="O36" s="143">
        <f>IF($D$6="Consolidated",SUMIFS('IS GL Summary'!$F:$F,'IS GL Summary'!$B:$B,O$12,'IS GL Summary'!$G:$G,'Trending P&amp;L'!$C36),SUMIFS('IS GL Summary'!$F:$F,'IS GL Summary'!$B:$B,O$12,'IS GL Summary'!$G:$G,'Trending P&amp;L'!$C36,'IS GL Summary'!$E:$E,$D$6))</f>
        <v>0</v>
      </c>
      <c r="P36" s="74"/>
      <c r="Q36" s="63"/>
      <c r="R36" s="63"/>
      <c r="S36" s="63"/>
      <c r="T36" s="63"/>
      <c r="U36" s="63"/>
      <c r="V36" s="63"/>
      <c r="W36" s="63"/>
      <c r="X36" s="63"/>
      <c r="Y36" s="63"/>
      <c r="Z36" s="63"/>
      <c r="AA36" s="63"/>
      <c r="AB36" s="63"/>
      <c r="AC36" s="63"/>
      <c r="AD36" s="63"/>
      <c r="AE36" s="63"/>
      <c r="AF36" s="63"/>
    </row>
    <row r="37" spans="1:32" x14ac:dyDescent="0.25">
      <c r="A37" s="63"/>
      <c r="B37" s="68"/>
      <c r="C37" s="80" t="s">
        <v>225</v>
      </c>
      <c r="D37" s="141">
        <f>IF($D$6="Consolidated",SUMIFS('IS GL Summary'!$F:$F,'IS GL Summary'!$B:$B,D$12,'IS GL Summary'!$G:$G,'Trending P&amp;L'!$C37),SUMIFS('IS GL Summary'!$F:$F,'IS GL Summary'!$B:$B,D$12,'IS GL Summary'!$G:$G,'Trending P&amp;L'!$C37,'IS GL Summary'!$E:$E,$D$6))</f>
        <v>0</v>
      </c>
      <c r="E37" s="142">
        <f>IF($D$6="Consolidated",SUMIFS('IS GL Summary'!$F:$F,'IS GL Summary'!$B:$B,E$12,'IS GL Summary'!$G:$G,'Trending P&amp;L'!$C37),SUMIFS('IS GL Summary'!$F:$F,'IS GL Summary'!$B:$B,E$12,'IS GL Summary'!$G:$G,'Trending P&amp;L'!$C37,'IS GL Summary'!$E:$E,$D$6))</f>
        <v>0</v>
      </c>
      <c r="F37" s="142">
        <f>IF($D$6="Consolidated",SUMIFS('IS GL Summary'!$F:$F,'IS GL Summary'!$B:$B,F$12,'IS GL Summary'!$G:$G,'Trending P&amp;L'!$C37),SUMIFS('IS GL Summary'!$F:$F,'IS GL Summary'!$B:$B,F$12,'IS GL Summary'!$G:$G,'Trending P&amp;L'!$C37,'IS GL Summary'!$E:$E,$D$6))</f>
        <v>0</v>
      </c>
      <c r="G37" s="142">
        <f>IF($D$6="Consolidated",SUMIFS('IS GL Summary'!$F:$F,'IS GL Summary'!$B:$B,G$12,'IS GL Summary'!$G:$G,'Trending P&amp;L'!$C37),SUMIFS('IS GL Summary'!$F:$F,'IS GL Summary'!$B:$B,G$12,'IS GL Summary'!$G:$G,'Trending P&amp;L'!$C37,'IS GL Summary'!$E:$E,$D$6))</f>
        <v>0</v>
      </c>
      <c r="H37" s="142">
        <f>IF($D$6="Consolidated",SUMIFS('IS GL Summary'!$F:$F,'IS GL Summary'!$B:$B,H$12,'IS GL Summary'!$G:$G,'Trending P&amp;L'!$C37),SUMIFS('IS GL Summary'!$F:$F,'IS GL Summary'!$B:$B,H$12,'IS GL Summary'!$G:$G,'Trending P&amp;L'!$C37,'IS GL Summary'!$E:$E,$D$6))</f>
        <v>0</v>
      </c>
      <c r="I37" s="142">
        <f>IF($D$6="Consolidated",SUMIFS('IS GL Summary'!$F:$F,'IS GL Summary'!$B:$B,I$12,'IS GL Summary'!$G:$G,'Trending P&amp;L'!$C37),SUMIFS('IS GL Summary'!$F:$F,'IS GL Summary'!$B:$B,I$12,'IS GL Summary'!$G:$G,'Trending P&amp;L'!$C37,'IS GL Summary'!$E:$E,$D$6))</f>
        <v>0</v>
      </c>
      <c r="J37" s="142">
        <f>IF($D$6="Consolidated",SUMIFS('IS GL Summary'!$F:$F,'IS GL Summary'!$B:$B,J$12,'IS GL Summary'!$G:$G,'Trending P&amp;L'!$C37),SUMIFS('IS GL Summary'!$F:$F,'IS GL Summary'!$B:$B,J$12,'IS GL Summary'!$G:$G,'Trending P&amp;L'!$C37,'IS GL Summary'!$E:$E,$D$6))</f>
        <v>0</v>
      </c>
      <c r="K37" s="142">
        <f>IF($D$6="Consolidated",SUMIFS('IS GL Summary'!$F:$F,'IS GL Summary'!$B:$B,K$12,'IS GL Summary'!$G:$G,'Trending P&amp;L'!$C37),SUMIFS('IS GL Summary'!$F:$F,'IS GL Summary'!$B:$B,K$12,'IS GL Summary'!$G:$G,'Trending P&amp;L'!$C37,'IS GL Summary'!$E:$E,$D$6))</f>
        <v>0</v>
      </c>
      <c r="L37" s="142">
        <f>IF($D$6="Consolidated",SUMIFS('IS GL Summary'!$F:$F,'IS GL Summary'!$B:$B,L$12,'IS GL Summary'!$G:$G,'Trending P&amp;L'!$C37),SUMIFS('IS GL Summary'!$F:$F,'IS GL Summary'!$B:$B,L$12,'IS GL Summary'!$G:$G,'Trending P&amp;L'!$C37,'IS GL Summary'!$E:$E,$D$6))</f>
        <v>0</v>
      </c>
      <c r="M37" s="142">
        <f>IF($D$6="Consolidated",SUMIFS('IS GL Summary'!$F:$F,'IS GL Summary'!$B:$B,M$12,'IS GL Summary'!$G:$G,'Trending P&amp;L'!$C37),SUMIFS('IS GL Summary'!$F:$F,'IS GL Summary'!$B:$B,M$12,'IS GL Summary'!$G:$G,'Trending P&amp;L'!$C37,'IS GL Summary'!$E:$E,$D$6))</f>
        <v>0</v>
      </c>
      <c r="N37" s="142">
        <f>IF($D$6="Consolidated",SUMIFS('IS GL Summary'!$F:$F,'IS GL Summary'!$B:$B,N$12,'IS GL Summary'!$G:$G,'Trending P&amp;L'!$C37),SUMIFS('IS GL Summary'!$F:$F,'IS GL Summary'!$B:$B,N$12,'IS GL Summary'!$G:$G,'Trending P&amp;L'!$C37,'IS GL Summary'!$E:$E,$D$6))</f>
        <v>842.15</v>
      </c>
      <c r="O37" s="143">
        <f>IF($D$6="Consolidated",SUMIFS('IS GL Summary'!$F:$F,'IS GL Summary'!$B:$B,O$12,'IS GL Summary'!$G:$G,'Trending P&amp;L'!$C37),SUMIFS('IS GL Summary'!$F:$F,'IS GL Summary'!$B:$B,O$12,'IS GL Summary'!$G:$G,'Trending P&amp;L'!$C37,'IS GL Summary'!$E:$E,$D$6))</f>
        <v>1739.24</v>
      </c>
      <c r="P37" s="74"/>
      <c r="Q37" s="63"/>
      <c r="R37" s="63"/>
      <c r="S37" s="63"/>
      <c r="T37" s="63"/>
      <c r="U37" s="63"/>
      <c r="V37" s="63"/>
      <c r="W37" s="63"/>
      <c r="X37" s="63"/>
      <c r="Y37" s="63"/>
      <c r="Z37" s="63"/>
      <c r="AA37" s="63"/>
      <c r="AB37" s="63"/>
      <c r="AC37" s="63"/>
      <c r="AD37" s="63"/>
      <c r="AE37" s="63"/>
      <c r="AF37" s="63"/>
    </row>
    <row r="38" spans="1:32" x14ac:dyDescent="0.25">
      <c r="A38" s="63"/>
      <c r="B38" s="68"/>
      <c r="C38" s="80" t="s">
        <v>217</v>
      </c>
      <c r="D38" s="141">
        <f>IF($D$6="Consolidated",SUMIFS('IS GL Summary'!$F:$F,'IS GL Summary'!$B:$B,D$12,'IS GL Summary'!$G:$G,'Trending P&amp;L'!$C38),SUMIFS('IS GL Summary'!$F:$F,'IS GL Summary'!$B:$B,D$12,'IS GL Summary'!$G:$G,'Trending P&amp;L'!$C38,'IS GL Summary'!$E:$E,$D$6))</f>
        <v>1256.25</v>
      </c>
      <c r="E38" s="142">
        <f>IF($D$6="Consolidated",SUMIFS('IS GL Summary'!$F:$F,'IS GL Summary'!$B:$B,E$12,'IS GL Summary'!$G:$G,'Trending P&amp;L'!$C38),SUMIFS('IS GL Summary'!$F:$F,'IS GL Summary'!$B:$B,E$12,'IS GL Summary'!$G:$G,'Trending P&amp;L'!$C38,'IS GL Summary'!$E:$E,$D$6))</f>
        <v>130.89999999999998</v>
      </c>
      <c r="F38" s="142">
        <f>IF($D$6="Consolidated",SUMIFS('IS GL Summary'!$F:$F,'IS GL Summary'!$B:$B,F$12,'IS GL Summary'!$G:$G,'Trending P&amp;L'!$C38),SUMIFS('IS GL Summary'!$F:$F,'IS GL Summary'!$B:$B,F$12,'IS GL Summary'!$G:$G,'Trending P&amp;L'!$C38,'IS GL Summary'!$E:$E,$D$6))</f>
        <v>1746.06</v>
      </c>
      <c r="G38" s="142">
        <f>IF($D$6="Consolidated",SUMIFS('IS GL Summary'!$F:$F,'IS GL Summary'!$B:$B,G$12,'IS GL Summary'!$G:$G,'Trending P&amp;L'!$C38),SUMIFS('IS GL Summary'!$F:$F,'IS GL Summary'!$B:$B,G$12,'IS GL Summary'!$G:$G,'Trending P&amp;L'!$C38,'IS GL Summary'!$E:$E,$D$6))</f>
        <v>10845.240000000002</v>
      </c>
      <c r="H38" s="142">
        <f>IF($D$6="Consolidated",SUMIFS('IS GL Summary'!$F:$F,'IS GL Summary'!$B:$B,H$12,'IS GL Summary'!$G:$G,'Trending P&amp;L'!$C38),SUMIFS('IS GL Summary'!$F:$F,'IS GL Summary'!$B:$B,H$12,'IS GL Summary'!$G:$G,'Trending P&amp;L'!$C38,'IS GL Summary'!$E:$E,$D$6))</f>
        <v>3394.3399999999997</v>
      </c>
      <c r="I38" s="142">
        <f>IF($D$6="Consolidated",SUMIFS('IS GL Summary'!$F:$F,'IS GL Summary'!$B:$B,I$12,'IS GL Summary'!$G:$G,'Trending P&amp;L'!$C38),SUMIFS('IS GL Summary'!$F:$F,'IS GL Summary'!$B:$B,I$12,'IS GL Summary'!$G:$G,'Trending P&amp;L'!$C38,'IS GL Summary'!$E:$E,$D$6))</f>
        <v>2200.5300000000002</v>
      </c>
      <c r="J38" s="142">
        <f>IF($D$6="Consolidated",SUMIFS('IS GL Summary'!$F:$F,'IS GL Summary'!$B:$B,J$12,'IS GL Summary'!$G:$G,'Trending P&amp;L'!$C38),SUMIFS('IS GL Summary'!$F:$F,'IS GL Summary'!$B:$B,J$12,'IS GL Summary'!$G:$G,'Trending P&amp;L'!$C38,'IS GL Summary'!$E:$E,$D$6))</f>
        <v>1056.27</v>
      </c>
      <c r="K38" s="142">
        <f>IF($D$6="Consolidated",SUMIFS('IS GL Summary'!$F:$F,'IS GL Summary'!$B:$B,K$12,'IS GL Summary'!$G:$G,'Trending P&amp;L'!$C38),SUMIFS('IS GL Summary'!$F:$F,'IS GL Summary'!$B:$B,K$12,'IS GL Summary'!$G:$G,'Trending P&amp;L'!$C38,'IS GL Summary'!$E:$E,$D$6))</f>
        <v>795.22</v>
      </c>
      <c r="L38" s="142">
        <f>IF($D$6="Consolidated",SUMIFS('IS GL Summary'!$F:$F,'IS GL Summary'!$B:$B,L$12,'IS GL Summary'!$G:$G,'Trending P&amp;L'!$C38),SUMIFS('IS GL Summary'!$F:$F,'IS GL Summary'!$B:$B,L$12,'IS GL Summary'!$G:$G,'Trending P&amp;L'!$C38,'IS GL Summary'!$E:$E,$D$6))</f>
        <v>851</v>
      </c>
      <c r="M38" s="142">
        <f>IF($D$6="Consolidated",SUMIFS('IS GL Summary'!$F:$F,'IS GL Summary'!$B:$B,M$12,'IS GL Summary'!$G:$G,'Trending P&amp;L'!$C38),SUMIFS('IS GL Summary'!$F:$F,'IS GL Summary'!$B:$B,M$12,'IS GL Summary'!$G:$G,'Trending P&amp;L'!$C38,'IS GL Summary'!$E:$E,$D$6))</f>
        <v>1280.98</v>
      </c>
      <c r="N38" s="142">
        <f>IF($D$6="Consolidated",SUMIFS('IS GL Summary'!$F:$F,'IS GL Summary'!$B:$B,N$12,'IS GL Summary'!$G:$G,'Trending P&amp;L'!$C38),SUMIFS('IS GL Summary'!$F:$F,'IS GL Summary'!$B:$B,N$12,'IS GL Summary'!$G:$G,'Trending P&amp;L'!$C38,'IS GL Summary'!$E:$E,$D$6))</f>
        <v>4258.25</v>
      </c>
      <c r="O38" s="143">
        <f>IF($D$6="Consolidated",SUMIFS('IS GL Summary'!$F:$F,'IS GL Summary'!$B:$B,O$12,'IS GL Summary'!$G:$G,'Trending P&amp;L'!$C38),SUMIFS('IS GL Summary'!$F:$F,'IS GL Summary'!$B:$B,O$12,'IS GL Summary'!$G:$G,'Trending P&amp;L'!$C38,'IS GL Summary'!$E:$E,$D$6))</f>
        <v>789.34999999999991</v>
      </c>
      <c r="P38" s="74"/>
      <c r="Q38" s="63"/>
      <c r="R38" s="63"/>
      <c r="S38" s="63"/>
      <c r="T38" s="63"/>
      <c r="U38" s="63"/>
      <c r="V38" s="63"/>
      <c r="W38" s="63"/>
      <c r="X38" s="63"/>
      <c r="Y38" s="63"/>
      <c r="Z38" s="63"/>
      <c r="AA38" s="63"/>
      <c r="AB38" s="63"/>
      <c r="AC38" s="63"/>
      <c r="AD38" s="63"/>
      <c r="AE38" s="63"/>
      <c r="AF38" s="63"/>
    </row>
    <row r="39" spans="1:32" ht="6" customHeight="1" x14ac:dyDescent="0.25">
      <c r="A39" s="63"/>
      <c r="B39" s="68"/>
      <c r="C39" s="88"/>
      <c r="D39" s="94"/>
      <c r="E39" s="95"/>
      <c r="F39" s="95"/>
      <c r="G39" s="95"/>
      <c r="H39" s="95"/>
      <c r="I39" s="95"/>
      <c r="J39" s="95"/>
      <c r="K39" s="95"/>
      <c r="L39" s="95"/>
      <c r="M39" s="95"/>
      <c r="N39" s="95"/>
      <c r="O39" s="96"/>
      <c r="P39" s="74"/>
      <c r="Q39" s="63"/>
      <c r="R39" s="63"/>
      <c r="S39" s="63"/>
      <c r="T39" s="63"/>
      <c r="U39" s="63"/>
      <c r="V39" s="63"/>
      <c r="W39" s="63"/>
      <c r="X39" s="63"/>
      <c r="Y39" s="63"/>
      <c r="Z39" s="63"/>
      <c r="AA39" s="63"/>
      <c r="AB39" s="63"/>
      <c r="AC39" s="63"/>
      <c r="AD39" s="63"/>
      <c r="AE39" s="63"/>
      <c r="AF39" s="63"/>
    </row>
    <row r="40" spans="1:32" x14ac:dyDescent="0.25">
      <c r="A40" s="63"/>
      <c r="B40" s="68"/>
      <c r="C40" s="97" t="s">
        <v>375</v>
      </c>
      <c r="D40" s="98">
        <f t="shared" ref="D40:O40" si="4">SUM(D30:D39)</f>
        <v>79237.240000000005</v>
      </c>
      <c r="E40" s="99">
        <f t="shared" si="4"/>
        <v>78456.069999999992</v>
      </c>
      <c r="F40" s="99">
        <f t="shared" si="4"/>
        <v>92582.069999999992</v>
      </c>
      <c r="G40" s="99">
        <f t="shared" si="4"/>
        <v>90566.640000000014</v>
      </c>
      <c r="H40" s="99">
        <f t="shared" si="4"/>
        <v>85499.11</v>
      </c>
      <c r="I40" s="99">
        <f t="shared" si="4"/>
        <v>66014.559999999998</v>
      </c>
      <c r="J40" s="99">
        <f t="shared" si="4"/>
        <v>54961.45</v>
      </c>
      <c r="K40" s="99">
        <f t="shared" si="4"/>
        <v>76565.310000000012</v>
      </c>
      <c r="L40" s="99">
        <f t="shared" si="4"/>
        <v>70523.759999999995</v>
      </c>
      <c r="M40" s="99">
        <f t="shared" si="4"/>
        <v>66320.759999999995</v>
      </c>
      <c r="N40" s="99">
        <f t="shared" si="4"/>
        <v>70543.989999999991</v>
      </c>
      <c r="O40" s="100">
        <f t="shared" si="4"/>
        <v>51331.30999999999</v>
      </c>
      <c r="P40" s="74"/>
      <c r="Q40" s="63"/>
      <c r="R40" s="63"/>
      <c r="S40" s="63"/>
      <c r="T40" s="63"/>
      <c r="U40" s="63"/>
      <c r="V40" s="63"/>
      <c r="W40" s="63"/>
      <c r="X40" s="63"/>
      <c r="Y40" s="63"/>
      <c r="Z40" s="63"/>
      <c r="AA40" s="63"/>
      <c r="AB40" s="63"/>
      <c r="AC40" s="63"/>
      <c r="AD40" s="63"/>
      <c r="AE40" s="63"/>
      <c r="AF40" s="63"/>
    </row>
    <row r="41" spans="1:32" x14ac:dyDescent="0.25">
      <c r="A41" s="63"/>
      <c r="B41" s="68"/>
      <c r="C41" s="88"/>
      <c r="D41" s="108"/>
      <c r="E41" s="88"/>
      <c r="F41" s="88"/>
      <c r="G41" s="88"/>
      <c r="H41" s="88"/>
      <c r="I41" s="88"/>
      <c r="J41" s="88"/>
      <c r="K41" s="88"/>
      <c r="L41" s="88"/>
      <c r="M41" s="88"/>
      <c r="N41" s="88"/>
      <c r="O41" s="109"/>
      <c r="P41" s="74"/>
      <c r="Q41" s="63"/>
      <c r="R41" s="63"/>
      <c r="S41" s="63"/>
      <c r="T41" s="63"/>
      <c r="U41" s="63"/>
      <c r="V41" s="63"/>
      <c r="W41" s="63"/>
      <c r="X41" s="63"/>
      <c r="Y41" s="63"/>
      <c r="Z41" s="63"/>
      <c r="AA41" s="63"/>
      <c r="AB41" s="63"/>
      <c r="AC41" s="63"/>
      <c r="AD41" s="63"/>
      <c r="AE41" s="63"/>
      <c r="AF41" s="63"/>
    </row>
    <row r="42" spans="1:32" x14ac:dyDescent="0.25">
      <c r="A42" s="63"/>
      <c r="B42" s="68"/>
      <c r="C42" s="97" t="s">
        <v>130</v>
      </c>
      <c r="D42" s="98">
        <f t="shared" ref="D42:O42" si="5">D26-D40</f>
        <v>-4488.7699999999895</v>
      </c>
      <c r="E42" s="99">
        <f t="shared" si="5"/>
        <v>17228.770000000033</v>
      </c>
      <c r="F42" s="99">
        <f t="shared" si="5"/>
        <v>22101.370000000024</v>
      </c>
      <c r="G42" s="99">
        <f t="shared" si="5"/>
        <v>-24685.869999999995</v>
      </c>
      <c r="H42" s="99">
        <f t="shared" si="5"/>
        <v>88599.090000000011</v>
      </c>
      <c r="I42" s="99">
        <f t="shared" si="5"/>
        <v>-2001.3999999999942</v>
      </c>
      <c r="J42" s="99">
        <f t="shared" si="5"/>
        <v>69136.11</v>
      </c>
      <c r="K42" s="99">
        <f t="shared" si="5"/>
        <v>11297.059999999998</v>
      </c>
      <c r="L42" s="99">
        <f t="shared" si="5"/>
        <v>-118862.77999999998</v>
      </c>
      <c r="M42" s="99">
        <f t="shared" si="5"/>
        <v>37119.290000000037</v>
      </c>
      <c r="N42" s="99">
        <f t="shared" si="5"/>
        <v>25455.110000000015</v>
      </c>
      <c r="O42" s="100">
        <f t="shared" si="5"/>
        <v>4748.7800000000352</v>
      </c>
      <c r="P42" s="74"/>
      <c r="Q42" s="63"/>
      <c r="R42" s="63"/>
      <c r="S42" s="63"/>
      <c r="T42" s="63"/>
      <c r="U42" s="63"/>
      <c r="V42" s="63"/>
      <c r="W42" s="63"/>
      <c r="X42" s="63"/>
      <c r="Y42" s="63"/>
      <c r="Z42" s="63"/>
      <c r="AA42" s="63"/>
      <c r="AB42" s="63"/>
      <c r="AC42" s="63"/>
      <c r="AD42" s="63"/>
      <c r="AE42" s="63"/>
      <c r="AF42" s="63"/>
    </row>
    <row r="43" spans="1:32" ht="4.95" customHeight="1" x14ac:dyDescent="0.25">
      <c r="A43" s="63"/>
      <c r="B43" s="68"/>
      <c r="C43" s="88"/>
      <c r="D43" s="108"/>
      <c r="E43" s="88"/>
      <c r="F43" s="88"/>
      <c r="G43" s="88"/>
      <c r="H43" s="88"/>
      <c r="I43" s="88"/>
      <c r="J43" s="88"/>
      <c r="K43" s="88"/>
      <c r="L43" s="88"/>
      <c r="M43" s="88"/>
      <c r="N43" s="88"/>
      <c r="O43" s="109"/>
      <c r="P43" s="74"/>
      <c r="Q43" s="63"/>
      <c r="R43" s="63"/>
      <c r="S43" s="63"/>
      <c r="T43" s="63"/>
      <c r="U43" s="63"/>
      <c r="V43" s="63"/>
      <c r="W43" s="63"/>
      <c r="X43" s="63"/>
      <c r="Y43" s="63"/>
      <c r="Z43" s="63"/>
      <c r="AA43" s="63"/>
      <c r="AB43" s="63"/>
      <c r="AC43" s="63"/>
      <c r="AD43" s="63"/>
      <c r="AE43" s="63"/>
      <c r="AF43" s="63"/>
    </row>
    <row r="44" spans="1:32" x14ac:dyDescent="0.25">
      <c r="A44" s="63"/>
      <c r="B44" s="68"/>
      <c r="C44" s="112" t="s">
        <v>226</v>
      </c>
      <c r="D44" s="141">
        <f>IF($D$6="Consolidated",SUMIFS('IS GL Summary'!$F:$F,'IS GL Summary'!$B:$B,D$12,'IS GL Summary'!$G:$G,'Trending P&amp;L'!$C44),SUMIFS('IS GL Summary'!$F:$F,'IS GL Summary'!$B:$B,D$12,'IS GL Summary'!$G:$G,'Trending P&amp;L'!$C44,'IS GL Summary'!$E:$E,$D$6))</f>
        <v>0</v>
      </c>
      <c r="E44" s="142">
        <f>IF($D$6="Consolidated",SUMIFS('IS GL Summary'!$F:$F,'IS GL Summary'!$B:$B,E$12,'IS GL Summary'!$G:$G,'Trending P&amp;L'!$C44),SUMIFS('IS GL Summary'!$F:$F,'IS GL Summary'!$B:$B,E$12,'IS GL Summary'!$G:$G,'Trending P&amp;L'!$C44,'IS GL Summary'!$E:$E,$D$6))</f>
        <v>0</v>
      </c>
      <c r="F44" s="142">
        <f>IF($D$6="Consolidated",SUMIFS('IS GL Summary'!$F:$F,'IS GL Summary'!$B:$B,F$12,'IS GL Summary'!$G:$G,'Trending P&amp;L'!$C44),SUMIFS('IS GL Summary'!$F:$F,'IS GL Summary'!$B:$B,F$12,'IS GL Summary'!$G:$G,'Trending P&amp;L'!$C44,'IS GL Summary'!$E:$E,$D$6))</f>
        <v>67.87</v>
      </c>
      <c r="G44" s="142">
        <f>IF($D$6="Consolidated",SUMIFS('IS GL Summary'!$F:$F,'IS GL Summary'!$B:$B,G$12,'IS GL Summary'!$G:$G,'Trending P&amp;L'!$C44),SUMIFS('IS GL Summary'!$F:$F,'IS GL Summary'!$B:$B,G$12,'IS GL Summary'!$G:$G,'Trending P&amp;L'!$C44,'IS GL Summary'!$E:$E,$D$6))</f>
        <v>0</v>
      </c>
      <c r="H44" s="142">
        <f>IF($D$6="Consolidated",SUMIFS('IS GL Summary'!$F:$F,'IS GL Summary'!$B:$B,H$12,'IS GL Summary'!$G:$G,'Trending P&amp;L'!$C44),SUMIFS('IS GL Summary'!$F:$F,'IS GL Summary'!$B:$B,H$12,'IS GL Summary'!$G:$G,'Trending P&amp;L'!$C44,'IS GL Summary'!$E:$E,$D$6))</f>
        <v>0</v>
      </c>
      <c r="I44" s="142">
        <f>IF($D$6="Consolidated",SUMIFS('IS GL Summary'!$F:$F,'IS GL Summary'!$B:$B,I$12,'IS GL Summary'!$G:$G,'Trending P&amp;L'!$C44),SUMIFS('IS GL Summary'!$F:$F,'IS GL Summary'!$B:$B,I$12,'IS GL Summary'!$G:$G,'Trending P&amp;L'!$C44,'IS GL Summary'!$E:$E,$D$6))</f>
        <v>0</v>
      </c>
      <c r="J44" s="142">
        <f>IF($D$6="Consolidated",SUMIFS('IS GL Summary'!$F:$F,'IS GL Summary'!$B:$B,J$12,'IS GL Summary'!$G:$G,'Trending P&amp;L'!$C44),SUMIFS('IS GL Summary'!$F:$F,'IS GL Summary'!$B:$B,J$12,'IS GL Summary'!$G:$G,'Trending P&amp;L'!$C44,'IS GL Summary'!$E:$E,$D$6))</f>
        <v>0</v>
      </c>
      <c r="K44" s="142">
        <f>IF($D$6="Consolidated",SUMIFS('IS GL Summary'!$F:$F,'IS GL Summary'!$B:$B,K$12,'IS GL Summary'!$G:$G,'Trending P&amp;L'!$C44),SUMIFS('IS GL Summary'!$F:$F,'IS GL Summary'!$B:$B,K$12,'IS GL Summary'!$G:$G,'Trending P&amp;L'!$C44,'IS GL Summary'!$E:$E,$D$6))</f>
        <v>0</v>
      </c>
      <c r="L44" s="142">
        <f>IF($D$6="Consolidated",SUMIFS('IS GL Summary'!$F:$F,'IS GL Summary'!$B:$B,L$12,'IS GL Summary'!$G:$G,'Trending P&amp;L'!$C44),SUMIFS('IS GL Summary'!$F:$F,'IS GL Summary'!$B:$B,L$12,'IS GL Summary'!$G:$G,'Trending P&amp;L'!$C44,'IS GL Summary'!$E:$E,$D$6))</f>
        <v>0</v>
      </c>
      <c r="M44" s="142">
        <f>IF($D$6="Consolidated",SUMIFS('IS GL Summary'!$F:$F,'IS GL Summary'!$B:$B,M$12,'IS GL Summary'!$G:$G,'Trending P&amp;L'!$C44),SUMIFS('IS GL Summary'!$F:$F,'IS GL Summary'!$B:$B,M$12,'IS GL Summary'!$G:$G,'Trending P&amp;L'!$C44,'IS GL Summary'!$E:$E,$D$6))</f>
        <v>0</v>
      </c>
      <c r="N44" s="142">
        <f>IF($D$6="Consolidated",SUMIFS('IS GL Summary'!$F:$F,'IS GL Summary'!$B:$B,N$12,'IS GL Summary'!$G:$G,'Trending P&amp;L'!$C44),SUMIFS('IS GL Summary'!$F:$F,'IS GL Summary'!$B:$B,N$12,'IS GL Summary'!$G:$G,'Trending P&amp;L'!$C44,'IS GL Summary'!$E:$E,$D$6))</f>
        <v>0</v>
      </c>
      <c r="O44" s="143">
        <f>IF($D$6="Consolidated",SUMIFS('IS GL Summary'!$F:$F,'IS GL Summary'!$B:$B,O$12,'IS GL Summary'!$G:$G,'Trending P&amp;L'!$C44),SUMIFS('IS GL Summary'!$F:$F,'IS GL Summary'!$B:$B,O$12,'IS GL Summary'!$G:$G,'Trending P&amp;L'!$C44,'IS GL Summary'!$E:$E,$D$6))</f>
        <v>0</v>
      </c>
      <c r="P44" s="74"/>
      <c r="Q44" s="63"/>
      <c r="R44" s="63"/>
      <c r="S44" s="63"/>
      <c r="T44" s="63"/>
      <c r="U44" s="63"/>
      <c r="V44" s="63"/>
      <c r="W44" s="63"/>
      <c r="X44" s="63"/>
      <c r="Y44" s="63"/>
      <c r="Z44" s="63"/>
      <c r="AA44" s="63"/>
      <c r="AB44" s="63"/>
      <c r="AC44" s="63"/>
      <c r="AD44" s="63"/>
      <c r="AE44" s="63"/>
      <c r="AF44" s="63"/>
    </row>
    <row r="45" spans="1:32" ht="6" customHeight="1" x14ac:dyDescent="0.25">
      <c r="A45" s="63"/>
      <c r="B45" s="68"/>
      <c r="C45" s="88"/>
      <c r="D45" s="94"/>
      <c r="E45" s="113"/>
      <c r="F45" s="113"/>
      <c r="G45" s="113"/>
      <c r="H45" s="113"/>
      <c r="I45" s="113"/>
      <c r="J45" s="113"/>
      <c r="K45" s="113"/>
      <c r="L45" s="113"/>
      <c r="M45" s="113"/>
      <c r="N45" s="113"/>
      <c r="O45" s="96"/>
      <c r="P45" s="74"/>
      <c r="Q45" s="63"/>
      <c r="R45" s="63"/>
      <c r="S45" s="63"/>
      <c r="T45" s="63"/>
      <c r="U45" s="63"/>
      <c r="V45" s="63"/>
      <c r="W45" s="63"/>
      <c r="X45" s="63"/>
      <c r="Y45" s="63"/>
      <c r="Z45" s="63"/>
      <c r="AA45" s="63"/>
      <c r="AB45" s="63"/>
      <c r="AC45" s="63"/>
      <c r="AD45" s="63"/>
      <c r="AE45" s="63"/>
      <c r="AF45" s="63"/>
    </row>
    <row r="46" spans="1:32" ht="13.8" thickBot="1" x14ac:dyDescent="0.3">
      <c r="A46" s="63"/>
      <c r="B46" s="68"/>
      <c r="C46" s="114" t="s">
        <v>12</v>
      </c>
      <c r="D46" s="115">
        <f t="shared" ref="D46:O46" si="6">D42-D44</f>
        <v>-4488.7699999999895</v>
      </c>
      <c r="E46" s="116">
        <f t="shared" si="6"/>
        <v>17228.770000000033</v>
      </c>
      <c r="F46" s="116">
        <f t="shared" si="6"/>
        <v>22033.500000000025</v>
      </c>
      <c r="G46" s="116">
        <f t="shared" si="6"/>
        <v>-24685.869999999995</v>
      </c>
      <c r="H46" s="116">
        <f t="shared" si="6"/>
        <v>88599.090000000011</v>
      </c>
      <c r="I46" s="116">
        <f t="shared" si="6"/>
        <v>-2001.3999999999942</v>
      </c>
      <c r="J46" s="116">
        <f t="shared" si="6"/>
        <v>69136.11</v>
      </c>
      <c r="K46" s="116">
        <f t="shared" si="6"/>
        <v>11297.059999999998</v>
      </c>
      <c r="L46" s="116">
        <f t="shared" si="6"/>
        <v>-118862.77999999998</v>
      </c>
      <c r="M46" s="116">
        <f t="shared" si="6"/>
        <v>37119.290000000037</v>
      </c>
      <c r="N46" s="116">
        <f t="shared" si="6"/>
        <v>25455.110000000015</v>
      </c>
      <c r="O46" s="117">
        <f t="shared" si="6"/>
        <v>4748.7800000000352</v>
      </c>
      <c r="P46" s="74"/>
      <c r="Q46" s="63"/>
      <c r="R46" s="63"/>
      <c r="S46" s="63"/>
      <c r="T46" s="63"/>
      <c r="U46" s="63"/>
      <c r="V46" s="63"/>
      <c r="W46" s="63"/>
      <c r="X46" s="63"/>
      <c r="Y46" s="63"/>
      <c r="Z46" s="63"/>
      <c r="AA46" s="63"/>
      <c r="AB46" s="63"/>
      <c r="AC46" s="63"/>
      <c r="AD46" s="63"/>
      <c r="AE46" s="63"/>
      <c r="AF46" s="63"/>
    </row>
    <row r="47" spans="1:32" ht="13.8" thickTop="1" x14ac:dyDescent="0.25">
      <c r="A47" s="63"/>
      <c r="B47" s="68"/>
      <c r="C47" s="104" t="s">
        <v>368</v>
      </c>
      <c r="D47" s="118">
        <f>_xlfn.XLOOKUP(D12,'P&amp;L'!$4:$4,'P&amp;L'!$106:$106)-D46</f>
        <v>-1.0913936421275139E-11</v>
      </c>
      <c r="E47" s="118">
        <f>_xlfn.XLOOKUP(E12,'P&amp;L'!$4:$4,'P&amp;L'!$106:$106)-E46</f>
        <v>-3.2741809263825417E-11</v>
      </c>
      <c r="F47" s="118">
        <f>_xlfn.XLOOKUP(F12,'P&amp;L'!$4:$4,'P&amp;L'!$106:$106)-F46</f>
        <v>0</v>
      </c>
      <c r="G47" s="118">
        <f>_xlfn.XLOOKUP(G12,'P&amp;L'!$4:$4,'P&amp;L'!$106:$106)-G46</f>
        <v>0</v>
      </c>
      <c r="H47" s="118">
        <f>_xlfn.XLOOKUP(H12,'P&amp;L'!$4:$4,'P&amp;L'!$106:$106)-H46</f>
        <v>0</v>
      </c>
      <c r="I47" s="118">
        <f>_xlfn.XLOOKUP(I12,'P&amp;L'!$4:$4,'P&amp;L'!$106:$106)-I46</f>
        <v>-5.9117155615240335E-12</v>
      </c>
      <c r="J47" s="118">
        <f>_xlfn.XLOOKUP(J12,'P&amp;L'!$4:$4,'P&amp;L'!$106:$106)-J46</f>
        <v>0</v>
      </c>
      <c r="K47" s="118">
        <f>_xlfn.XLOOKUP(K12,'P&amp;L'!$4:$4,'P&amp;L'!$106:$106)-K46</f>
        <v>0</v>
      </c>
      <c r="L47" s="118">
        <f>_xlfn.XLOOKUP(L12,'P&amp;L'!$4:$4,'P&amp;L'!$106:$106)-L46</f>
        <v>0</v>
      </c>
      <c r="M47" s="118">
        <f>_xlfn.XLOOKUP(M12,'P&amp;L'!$4:$4,'P&amp;L'!$106:$106)-M46</f>
        <v>0</v>
      </c>
      <c r="N47" s="118">
        <f>_xlfn.XLOOKUP(N12,'P&amp;L'!$4:$4,'P&amp;L'!$106:$106)-N46</f>
        <v>0</v>
      </c>
      <c r="O47" s="118">
        <f>_xlfn.XLOOKUP(O12,'P&amp;L'!$4:$4,'P&amp;L'!$106:$106)-O46</f>
        <v>-3.5470293369144201E-11</v>
      </c>
      <c r="P47" s="74"/>
      <c r="Q47" s="63"/>
      <c r="R47" s="63"/>
      <c r="S47" s="63"/>
      <c r="T47" s="63"/>
      <c r="U47" s="63"/>
      <c r="V47" s="63"/>
      <c r="W47" s="63"/>
      <c r="X47" s="63"/>
      <c r="Y47" s="63"/>
      <c r="Z47" s="63"/>
      <c r="AA47" s="63"/>
      <c r="AB47" s="63"/>
      <c r="AC47" s="63"/>
      <c r="AD47" s="63"/>
      <c r="AE47" s="63"/>
      <c r="AF47" s="63"/>
    </row>
    <row r="48" spans="1:32" x14ac:dyDescent="0.25">
      <c r="A48" s="63"/>
      <c r="B48" s="81"/>
      <c r="C48" s="119"/>
      <c r="D48" s="119"/>
      <c r="E48" s="119"/>
      <c r="F48" s="119"/>
      <c r="G48" s="119"/>
      <c r="H48" s="119"/>
      <c r="I48" s="119"/>
      <c r="J48" s="119"/>
      <c r="K48" s="119"/>
      <c r="L48" s="119"/>
      <c r="M48" s="119"/>
      <c r="N48" s="119"/>
      <c r="O48" s="119"/>
      <c r="P48" s="82"/>
      <c r="Q48" s="63"/>
      <c r="R48" s="63"/>
      <c r="S48" s="63"/>
      <c r="T48" s="63"/>
      <c r="U48" s="63"/>
      <c r="V48" s="63"/>
      <c r="W48" s="63"/>
      <c r="X48" s="63"/>
      <c r="Y48" s="63"/>
      <c r="Z48" s="63"/>
      <c r="AA48" s="63"/>
      <c r="AB48" s="63"/>
      <c r="AC48" s="63"/>
      <c r="AD48" s="63"/>
      <c r="AE48" s="63"/>
      <c r="AF48" s="63"/>
    </row>
    <row r="49" spans="1:33" x14ac:dyDescent="0.25">
      <c r="A49" s="63"/>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row>
    <row r="50" spans="1:33" x14ac:dyDescent="0.25">
      <c r="A50" s="63"/>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row>
    <row r="51" spans="1:33" x14ac:dyDescent="0.25">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row>
    <row r="52" spans="1:33" x14ac:dyDescent="0.25">
      <c r="A52" s="63"/>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row>
    <row r="53" spans="1:33" x14ac:dyDescent="0.25">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row>
    <row r="54" spans="1:33" x14ac:dyDescent="0.25">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row>
    <row r="55" spans="1:33" x14ac:dyDescent="0.25">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row>
    <row r="56" spans="1:33" x14ac:dyDescent="0.25">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row>
    <row r="57" spans="1:33" x14ac:dyDescent="0.25">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row>
    <row r="58" spans="1:33" x14ac:dyDescent="0.25">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row>
    <row r="59" spans="1:33" x14ac:dyDescent="0.25">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row>
    <row r="60" spans="1:33" x14ac:dyDescent="0.25">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row>
    <row r="61" spans="1:33" x14ac:dyDescent="0.25">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row>
    <row r="62" spans="1:33" x14ac:dyDescent="0.25">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row>
    <row r="63" spans="1:33" x14ac:dyDescent="0.25">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row>
    <row r="64" spans="1:33" x14ac:dyDescent="0.2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row>
    <row r="65" spans="1:33" x14ac:dyDescent="0.25">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row>
    <row r="66" spans="1:33" x14ac:dyDescent="0.25">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row>
    <row r="67" spans="1:33" x14ac:dyDescent="0.25">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row>
    <row r="68" spans="1:33" x14ac:dyDescent="0.25">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row>
    <row r="69" spans="1:33" x14ac:dyDescent="0.25">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row>
    <row r="70" spans="1:33" x14ac:dyDescent="0.25">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row>
    <row r="71" spans="1:33" x14ac:dyDescent="0.25">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row>
    <row r="72" spans="1:33" x14ac:dyDescent="0.25">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row>
    <row r="73" spans="1:33" x14ac:dyDescent="0.25">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row>
    <row r="74" spans="1:33" x14ac:dyDescent="0.25">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row>
    <row r="75" spans="1:33" x14ac:dyDescent="0.25">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row>
    <row r="76" spans="1:33" x14ac:dyDescent="0.25">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row>
    <row r="77" spans="1:33" x14ac:dyDescent="0.25">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row>
    <row r="78" spans="1:33" x14ac:dyDescent="0.25">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row>
    <row r="79" spans="1:33" x14ac:dyDescent="0.25">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row>
    <row r="80" spans="1:33" x14ac:dyDescent="0.25">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row>
  </sheetData>
  <dataValidations count="1">
    <dataValidation type="list" allowBlank="1" showInputMessage="1" showErrorMessage="1" sqref="D6" xr:uid="{A7E2551B-7BFA-4476-AEA1-D84E7A9A0E56}">
      <formula1>"Class B, Class A, Company, Consolidated"</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06CE6-E6E0-43F2-8919-D41A1BC9184E}">
  <dimension ref="A1:AI68"/>
  <sheetViews>
    <sheetView showGridLines="0" zoomScaleNormal="100" workbookViewId="0">
      <pane ySplit="18" topLeftCell="A19" activePane="bottomLeft" state="frozen"/>
      <selection activeCell="M106" sqref="M106"/>
      <selection pane="bottomLeft" activeCell="K55" sqref="K55"/>
    </sheetView>
  </sheetViews>
  <sheetFormatPr defaultRowHeight="13.2" outlineLevelRow="1" x14ac:dyDescent="0.25"/>
  <cols>
    <col min="1" max="1" width="1.77734375" style="2" customWidth="1"/>
    <col min="2" max="2" width="2.21875" style="2" customWidth="1"/>
    <col min="3" max="3" width="24.21875" style="2" bestFit="1" customWidth="1"/>
    <col min="4" max="4" width="13.77734375" style="2" bestFit="1" customWidth="1"/>
    <col min="5" max="7" width="14.88671875" style="2" customWidth="1"/>
    <col min="8" max="8" width="1.109375" style="2" customWidth="1"/>
    <col min="9" max="16" width="16.109375" style="2" customWidth="1"/>
    <col min="17" max="16384" width="8.88671875" style="2"/>
  </cols>
  <sheetData>
    <row r="1" spans="1:35" x14ac:dyDescent="0.25">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row>
    <row r="2" spans="1:35" ht="20.100000000000001" customHeight="1" x14ac:dyDescent="0.25">
      <c r="A2" s="63"/>
      <c r="B2" s="144" t="s">
        <v>390</v>
      </c>
      <c r="C2" s="64"/>
      <c r="D2" s="64"/>
      <c r="E2" s="64"/>
      <c r="F2" s="64"/>
      <c r="G2" s="64"/>
      <c r="H2" s="65"/>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row>
    <row r="3" spans="1:35" ht="16.2" customHeight="1" x14ac:dyDescent="0.25">
      <c r="A3" s="63"/>
      <c r="B3" s="145" t="str" cm="1">
        <f t="array" aca="1" ref="B3" ca="1">MID(CELL("filename",A1),FIND("]",CELL("filename",A1))+1,255)</f>
        <v>P&amp;L by Class</v>
      </c>
      <c r="C3" s="66"/>
      <c r="D3" s="66"/>
      <c r="E3" s="66"/>
      <c r="F3" s="66"/>
      <c r="G3" s="66"/>
      <c r="H3" s="67"/>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row>
    <row r="4" spans="1:35" ht="5.4" customHeight="1" x14ac:dyDescent="0.25">
      <c r="A4" s="63"/>
      <c r="B4" s="68"/>
      <c r="C4" s="69"/>
      <c r="D4" s="69"/>
      <c r="E4" s="69"/>
      <c r="F4" s="69"/>
      <c r="G4" s="69"/>
      <c r="H4" s="70"/>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row>
    <row r="5" spans="1:35" x14ac:dyDescent="0.25">
      <c r="A5" s="63"/>
      <c r="B5" s="68"/>
      <c r="C5" s="2" t="s">
        <v>369</v>
      </c>
      <c r="D5" s="200">
        <f>'Date Mapping'!S1</f>
        <v>46112</v>
      </c>
      <c r="E5" s="83"/>
      <c r="H5" s="74"/>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row>
    <row r="6" spans="1:35" x14ac:dyDescent="0.25">
      <c r="A6" s="63"/>
      <c r="B6" s="68"/>
      <c r="C6" s="2" t="s">
        <v>376</v>
      </c>
      <c r="D6" s="84" t="s">
        <v>377</v>
      </c>
      <c r="E6" s="85" t="s">
        <v>378</v>
      </c>
      <c r="F6" s="83"/>
      <c r="G6" s="83"/>
      <c r="H6" s="74"/>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row>
    <row r="7" spans="1:35" ht="2.4" customHeight="1" x14ac:dyDescent="0.25">
      <c r="A7" s="63"/>
      <c r="B7" s="68"/>
      <c r="E7" s="83"/>
      <c r="F7" s="83"/>
      <c r="G7" s="83"/>
      <c r="H7" s="74"/>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row>
    <row r="8" spans="1:35" x14ac:dyDescent="0.25">
      <c r="A8" s="63"/>
      <c r="B8" s="68"/>
      <c r="D8" s="120" t="s">
        <v>379</v>
      </c>
      <c r="E8" s="121"/>
      <c r="F8" s="83"/>
      <c r="G8" s="83"/>
      <c r="H8" s="74"/>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row>
    <row r="9" spans="1:35" x14ac:dyDescent="0.25">
      <c r="A9" s="63"/>
      <c r="B9" s="68"/>
      <c r="C9" s="78" t="s">
        <v>381</v>
      </c>
      <c r="D9" s="84"/>
      <c r="E9" s="85" t="s">
        <v>382</v>
      </c>
      <c r="G9" s="122"/>
      <c r="H9" s="74"/>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row>
    <row r="10" spans="1:35" x14ac:dyDescent="0.25">
      <c r="A10" s="63"/>
      <c r="B10" s="68"/>
      <c r="D10" s="84"/>
      <c r="E10" s="85" t="s">
        <v>382</v>
      </c>
      <c r="F10" s="83"/>
      <c r="G10" s="83"/>
      <c r="H10" s="74"/>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row>
    <row r="11" spans="1:35" hidden="1" outlineLevel="1" x14ac:dyDescent="0.25">
      <c r="A11" s="63"/>
      <c r="B11" s="68"/>
      <c r="D11" s="120"/>
      <c r="E11" s="121"/>
      <c r="F11" s="122"/>
      <c r="G11" s="122"/>
      <c r="H11" s="74"/>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row>
    <row r="12" spans="1:35" hidden="1" outlineLevel="1" x14ac:dyDescent="0.25">
      <c r="A12" s="63"/>
      <c r="B12" s="68"/>
      <c r="C12" s="79" t="s">
        <v>383</v>
      </c>
      <c r="D12" s="123">
        <f>_xlfn.XLOOKUP(D6,DateRanges[Period],DateRanges[Start Date])</f>
        <v>46112</v>
      </c>
      <c r="E12" s="122"/>
      <c r="F12" s="122"/>
      <c r="G12" s="122"/>
      <c r="H12" s="74"/>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row>
    <row r="13" spans="1:35" hidden="1" outlineLevel="1" x14ac:dyDescent="0.25">
      <c r="A13" s="63"/>
      <c r="B13" s="68"/>
      <c r="C13" s="79" t="s">
        <v>384</v>
      </c>
      <c r="D13" s="123">
        <f>_xlfn.XLOOKUP(D6,DateRanges[Period],DateRanges[End Date])</f>
        <v>46112</v>
      </c>
      <c r="E13" s="122"/>
      <c r="F13" s="122"/>
      <c r="G13" s="122"/>
      <c r="H13" s="74"/>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row>
    <row r="14" spans="1:35" collapsed="1" x14ac:dyDescent="0.25">
      <c r="A14" s="63"/>
      <c r="B14" s="68"/>
      <c r="H14" s="74"/>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row>
    <row r="15" spans="1:35" ht="7.95" customHeight="1" x14ac:dyDescent="0.25">
      <c r="A15" s="63"/>
      <c r="B15" s="75"/>
      <c r="C15" s="86"/>
      <c r="D15" s="86"/>
      <c r="E15" s="86"/>
      <c r="F15" s="86"/>
      <c r="G15" s="86"/>
      <c r="H15" s="76"/>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row>
    <row r="16" spans="1:35" ht="15.6" x14ac:dyDescent="0.3">
      <c r="A16" s="63"/>
      <c r="B16" s="71"/>
      <c r="C16" s="72" t="str" cm="1">
        <f t="array" aca="1" ref="C16" ca="1">MID(CELL("filename",A1),FIND("]",CELL("filename",A1))+1,255)</f>
        <v>P&amp;L by Class</v>
      </c>
      <c r="D16" s="73"/>
      <c r="E16" s="73"/>
      <c r="F16" s="73"/>
      <c r="G16" s="73"/>
      <c r="H16" s="77"/>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row>
    <row r="17" spans="1:35" ht="7.95" customHeight="1" x14ac:dyDescent="0.25">
      <c r="A17" s="63"/>
      <c r="B17" s="68"/>
      <c r="H17" s="74"/>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row>
    <row r="18" spans="1:35" x14ac:dyDescent="0.25">
      <c r="A18" s="63"/>
      <c r="B18" s="68"/>
      <c r="D18" s="124" t="s">
        <v>370</v>
      </c>
      <c r="E18" s="124" t="s">
        <v>492</v>
      </c>
      <c r="F18" s="124" t="s">
        <v>491</v>
      </c>
      <c r="G18" s="124" t="s">
        <v>252</v>
      </c>
      <c r="H18" s="74"/>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row>
    <row r="19" spans="1:35" ht="3.6" customHeight="1" x14ac:dyDescent="0.25">
      <c r="A19" s="63"/>
      <c r="B19" s="68"/>
      <c r="C19" s="88"/>
      <c r="D19" s="146"/>
      <c r="E19" s="146"/>
      <c r="F19" s="146"/>
      <c r="G19" s="146"/>
      <c r="H19" s="74"/>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row>
    <row r="20" spans="1:35" x14ac:dyDescent="0.25">
      <c r="A20" s="63"/>
      <c r="B20" s="68"/>
      <c r="C20" s="89" t="s">
        <v>208</v>
      </c>
      <c r="D20" s="125"/>
      <c r="E20" s="125"/>
      <c r="F20" s="125"/>
      <c r="G20" s="125"/>
      <c r="H20" s="74"/>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row>
    <row r="21" spans="1:35" x14ac:dyDescent="0.25">
      <c r="A21" s="63"/>
      <c r="B21" s="68"/>
      <c r="C21" s="80" t="s">
        <v>492</v>
      </c>
      <c r="D21" s="126">
        <f>SUM(E21:G21)</f>
        <v>81007.69</v>
      </c>
      <c r="E21" s="140">
        <f>SUMIFS('IS GL Summary'!$F:$F,'IS GL Summary'!$B:$B,"&gt;="&amp;$D$12,'IS GL Summary'!$G:$G,'P&amp;L by Class'!$C21,'IS GL Summary'!$E:$E,E$18)-SUMIFS('IS GL Summary'!$F:$F,'IS GL Summary'!$B:$B,"&gt;"&amp;$D$13,'IS GL Summary'!$G:$G,$C21,'IS GL Summary'!$E:$E,E$18)</f>
        <v>81007.69</v>
      </c>
      <c r="F21" s="140">
        <f>SUMIFS('IS GL Summary'!$F:$F,'IS GL Summary'!$B:$B,"&gt;="&amp;$D$12,'IS GL Summary'!$G:$G,'P&amp;L by Class'!$C21,'IS GL Summary'!$E:$E,F$18)-SUMIFS('IS GL Summary'!$F:$F,'IS GL Summary'!$B:$B,"&gt;"&amp;$D$13,'IS GL Summary'!$G:$G,$C21,'IS GL Summary'!$E:$E,F$18)</f>
        <v>0</v>
      </c>
      <c r="G21" s="140">
        <f>SUMIFS('IS GL Summary'!$F:$F,'IS GL Summary'!$B:$B,"&gt;="&amp;$D$12,'IS GL Summary'!$G:$G,'P&amp;L by Class'!$C21,'IS GL Summary'!$E:$E,G$18)-SUMIFS('IS GL Summary'!$F:$F,'IS GL Summary'!$B:$B,"&gt;"&amp;$D$13,'IS GL Summary'!$G:$G,$C21,'IS GL Summary'!$E:$E,G$18)</f>
        <v>0</v>
      </c>
      <c r="H21" s="74"/>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row>
    <row r="22" spans="1:35" x14ac:dyDescent="0.25">
      <c r="A22" s="63"/>
      <c r="B22" s="68"/>
      <c r="C22" s="80" t="s">
        <v>491</v>
      </c>
      <c r="D22" s="126">
        <f>SUM(E22:G22)</f>
        <v>50475.45</v>
      </c>
      <c r="E22" s="140">
        <f>SUMIFS('IS GL Summary'!$F:$F,'IS GL Summary'!$B:$B,"&gt;="&amp;$D$12,'IS GL Summary'!$G:$G,'P&amp;L by Class'!$C22,'IS GL Summary'!$E:$E,E$18)-SUMIFS('IS GL Summary'!$F:$F,'IS GL Summary'!$B:$B,"&gt;"&amp;$D$13,'IS GL Summary'!$G:$G,$C22,'IS GL Summary'!$E:$E,E$18)</f>
        <v>0</v>
      </c>
      <c r="F22" s="140">
        <f>SUMIFS('IS GL Summary'!$F:$F,'IS GL Summary'!$B:$B,"&gt;="&amp;$D$12,'IS GL Summary'!$G:$G,'P&amp;L by Class'!$C22,'IS GL Summary'!$E:$E,F$18)-SUMIFS('IS GL Summary'!$F:$F,'IS GL Summary'!$B:$B,"&gt;"&amp;$D$13,'IS GL Summary'!$G:$G,$C22,'IS GL Summary'!$E:$E,F$18)</f>
        <v>50475.45</v>
      </c>
      <c r="G22" s="140">
        <f>SUMIFS('IS GL Summary'!$F:$F,'IS GL Summary'!$B:$B,"&gt;="&amp;$D$12,'IS GL Summary'!$G:$G,'P&amp;L by Class'!$C22,'IS GL Summary'!$E:$E,G$18)-SUMIFS('IS GL Summary'!$F:$F,'IS GL Summary'!$B:$B,"&gt;"&amp;$D$13,'IS GL Summary'!$G:$G,$C22,'IS GL Summary'!$E:$E,G$18)</f>
        <v>0</v>
      </c>
      <c r="H22" s="74"/>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row>
    <row r="23" spans="1:35" x14ac:dyDescent="0.25">
      <c r="A23" s="63"/>
      <c r="B23" s="68"/>
      <c r="C23" s="80" t="s">
        <v>372</v>
      </c>
      <c r="D23" s="126">
        <f>SUM(E23:G23)</f>
        <v>0</v>
      </c>
      <c r="E23" s="140">
        <f>SUMIFS('IS GL Summary'!$F:$F,'IS GL Summary'!$B:$B,"&gt;="&amp;$D$12,'IS GL Summary'!$G:$G,'P&amp;L by Class'!$C23,'IS GL Summary'!$E:$E,E$18)-SUMIFS('IS GL Summary'!$F:$F,'IS GL Summary'!$B:$B,"&gt;"&amp;$D$13,'IS GL Summary'!$G:$G,$C23,'IS GL Summary'!$E:$E,E$18)</f>
        <v>0</v>
      </c>
      <c r="F23" s="140">
        <f>SUMIFS('IS GL Summary'!$F:$F,'IS GL Summary'!$B:$B,"&gt;="&amp;$D$12,'IS GL Summary'!$G:$G,'P&amp;L by Class'!$C23,'IS GL Summary'!$E:$E,F$18)-SUMIFS('IS GL Summary'!$F:$F,'IS GL Summary'!$B:$B,"&gt;"&amp;$D$13,'IS GL Summary'!$G:$G,$C23,'IS GL Summary'!$E:$E,F$18)</f>
        <v>0</v>
      </c>
      <c r="G23" s="140">
        <f>SUMIFS('IS GL Summary'!$F:$F,'IS GL Summary'!$B:$B,"&gt;="&amp;$D$12,'IS GL Summary'!$G:$G,'P&amp;L by Class'!$C23,'IS GL Summary'!$E:$E,G$18)-SUMIFS('IS GL Summary'!$F:$F,'IS GL Summary'!$B:$B,"&gt;"&amp;$D$13,'IS GL Summary'!$G:$G,$C23,'IS GL Summary'!$E:$E,G$18)</f>
        <v>0</v>
      </c>
      <c r="H23" s="74"/>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row>
    <row r="24" spans="1:35" x14ac:dyDescent="0.25">
      <c r="A24" s="63"/>
      <c r="B24" s="68"/>
      <c r="C24" s="80" t="s">
        <v>209</v>
      </c>
      <c r="D24" s="126">
        <f>SUM(E24:G24)</f>
        <v>0</v>
      </c>
      <c r="E24" s="140">
        <f>SUMIFS('IS GL Summary'!$F:$F,'IS GL Summary'!$B:$B,"&gt;="&amp;$D$12,'IS GL Summary'!$G:$G,'P&amp;L by Class'!$C24,'IS GL Summary'!$E:$E,E$18)-SUMIFS('IS GL Summary'!$F:$F,'IS GL Summary'!$B:$B,"&gt;"&amp;$D$13,'IS GL Summary'!$G:$G,$C24,'IS GL Summary'!$E:$E,E$18)</f>
        <v>0</v>
      </c>
      <c r="F24" s="140">
        <f>SUMIFS('IS GL Summary'!$F:$F,'IS GL Summary'!$B:$B,"&gt;="&amp;$D$12,'IS GL Summary'!$G:$G,'P&amp;L by Class'!$C24,'IS GL Summary'!$E:$E,F$18)-SUMIFS('IS GL Summary'!$F:$F,'IS GL Summary'!$B:$B,"&gt;"&amp;$D$13,'IS GL Summary'!$G:$G,$C24,'IS GL Summary'!$E:$E,F$18)</f>
        <v>0</v>
      </c>
      <c r="G24" s="140">
        <f>SUMIFS('IS GL Summary'!$F:$F,'IS GL Summary'!$B:$B,"&gt;="&amp;$D$12,'IS GL Summary'!$G:$G,'P&amp;L by Class'!$C24,'IS GL Summary'!$E:$E,G$18)-SUMIFS('IS GL Summary'!$F:$F,'IS GL Summary'!$B:$B,"&gt;"&amp;$D$13,'IS GL Summary'!$G:$G,$C24,'IS GL Summary'!$E:$E,G$18)</f>
        <v>0</v>
      </c>
      <c r="H24" s="74"/>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row>
    <row r="25" spans="1:35" ht="3" customHeight="1" x14ac:dyDescent="0.25">
      <c r="A25" s="63"/>
      <c r="B25" s="68"/>
      <c r="C25" s="93"/>
      <c r="D25" s="127"/>
      <c r="E25" s="127"/>
      <c r="F25" s="127"/>
      <c r="G25" s="127"/>
      <c r="H25" s="74"/>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row>
    <row r="26" spans="1:35" x14ac:dyDescent="0.25">
      <c r="A26" s="63"/>
      <c r="B26" s="68"/>
      <c r="C26" s="97" t="s">
        <v>210</v>
      </c>
      <c r="D26" s="128">
        <f>SUM(D21:D25)</f>
        <v>131483.14000000001</v>
      </c>
      <c r="E26" s="128">
        <f>SUM(E21:E25)</f>
        <v>81007.69</v>
      </c>
      <c r="F26" s="128">
        <f>SUM(F21:F25)</f>
        <v>50475.45</v>
      </c>
      <c r="G26" s="128">
        <f>SUM(G21:G25)</f>
        <v>0</v>
      </c>
      <c r="H26" s="74"/>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row>
    <row r="27" spans="1:35" ht="4.95" customHeight="1" x14ac:dyDescent="0.25">
      <c r="A27" s="63"/>
      <c r="B27" s="68"/>
      <c r="C27" s="93"/>
      <c r="D27" s="127"/>
      <c r="E27" s="127"/>
      <c r="F27" s="127"/>
      <c r="G27" s="127"/>
      <c r="H27" s="74"/>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row>
    <row r="28" spans="1:35" x14ac:dyDescent="0.25">
      <c r="A28" s="63"/>
      <c r="B28" s="68"/>
      <c r="C28" s="89" t="s">
        <v>211</v>
      </c>
      <c r="D28" s="129"/>
      <c r="E28" s="129"/>
      <c r="F28" s="129"/>
      <c r="G28" s="129"/>
      <c r="H28" s="74"/>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row>
    <row r="29" spans="1:35" x14ac:dyDescent="0.25">
      <c r="A29" s="63"/>
      <c r="B29" s="68"/>
      <c r="C29" s="80" t="s">
        <v>550</v>
      </c>
      <c r="D29" s="126">
        <f>SUM(E29:G29)</f>
        <v>7912.4</v>
      </c>
      <c r="E29" s="140">
        <f>SUMIFS('IS GL Summary'!$F:$F,'IS GL Summary'!$B:$B,"&gt;="&amp;$D$12,'IS GL Summary'!$G:$G,'P&amp;L by Class'!$C29,'IS GL Summary'!$E:$E,E$18)-SUMIFS('IS GL Summary'!$F:$F,'IS GL Summary'!$B:$B,"&gt;"&amp;$D$13,'IS GL Summary'!$G:$G,$C29,'IS GL Summary'!$E:$E,E$18)</f>
        <v>6326.98</v>
      </c>
      <c r="F29" s="140">
        <f>SUMIFS('IS GL Summary'!$F:$F,'IS GL Summary'!$B:$B,"&gt;="&amp;$D$12,'IS GL Summary'!$G:$G,'P&amp;L by Class'!$C29,'IS GL Summary'!$E:$E,F$18)-SUMIFS('IS GL Summary'!$F:$F,'IS GL Summary'!$B:$B,"&gt;"&amp;$D$13,'IS GL Summary'!$G:$G,$C29,'IS GL Summary'!$E:$E,F$18)</f>
        <v>1585.42</v>
      </c>
      <c r="G29" s="140">
        <f>SUMIFS('IS GL Summary'!$F:$F,'IS GL Summary'!$B:$B,"&gt;="&amp;$D$12,'IS GL Summary'!$G:$G,'P&amp;L by Class'!$C29,'IS GL Summary'!$E:$E,G$18)-SUMIFS('IS GL Summary'!$F:$F,'IS GL Summary'!$B:$B,"&gt;"&amp;$D$13,'IS GL Summary'!$G:$G,$C29,'IS GL Summary'!$E:$E,G$18)</f>
        <v>0</v>
      </c>
      <c r="H29" s="74"/>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row>
    <row r="30" spans="1:35" x14ac:dyDescent="0.25">
      <c r="A30" s="63"/>
      <c r="B30" s="68"/>
      <c r="C30" s="80" t="s">
        <v>212</v>
      </c>
      <c r="D30" s="126">
        <f>SUM(E30:G30)</f>
        <v>48822.270000000004</v>
      </c>
      <c r="E30" s="140">
        <f>SUMIFS('IS GL Summary'!$F:$F,'IS GL Summary'!$B:$B,"&gt;="&amp;$D$12,'IS GL Summary'!$G:$G,'P&amp;L by Class'!$C30,'IS GL Summary'!$E:$E,E$18)-SUMIFS('IS GL Summary'!$F:$F,'IS GL Summary'!$B:$B,"&gt;"&amp;$D$13,'IS GL Summary'!$G:$G,$C30,'IS GL Summary'!$E:$E,E$18)</f>
        <v>18510.469999999998</v>
      </c>
      <c r="F30" s="140">
        <f>SUMIFS('IS GL Summary'!$F:$F,'IS GL Summary'!$B:$B,"&gt;="&amp;$D$12,'IS GL Summary'!$G:$G,'P&amp;L by Class'!$C30,'IS GL Summary'!$E:$E,F$18)-SUMIFS('IS GL Summary'!$F:$F,'IS GL Summary'!$B:$B,"&gt;"&amp;$D$13,'IS GL Summary'!$G:$G,$C30,'IS GL Summary'!$E:$E,F$18)</f>
        <v>30311.800000000003</v>
      </c>
      <c r="G30" s="140">
        <f>SUMIFS('IS GL Summary'!$F:$F,'IS GL Summary'!$B:$B,"&gt;="&amp;$D$12,'IS GL Summary'!$G:$G,'P&amp;L by Class'!$C30,'IS GL Summary'!$E:$E,G$18)-SUMIFS('IS GL Summary'!$F:$F,'IS GL Summary'!$B:$B,"&gt;"&amp;$D$13,'IS GL Summary'!$G:$G,$C30,'IS GL Summary'!$E:$E,G$18)</f>
        <v>0</v>
      </c>
      <c r="H30" s="74"/>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row>
    <row r="31" spans="1:35" ht="4.95" customHeight="1" x14ac:dyDescent="0.25">
      <c r="A31" s="63"/>
      <c r="B31" s="68"/>
      <c r="C31" s="93"/>
      <c r="D31" s="127"/>
      <c r="E31" s="127"/>
      <c r="F31" s="127"/>
      <c r="G31" s="127"/>
      <c r="H31" s="74"/>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row>
    <row r="32" spans="1:35" x14ac:dyDescent="0.25">
      <c r="A32" s="63"/>
      <c r="B32" s="68"/>
      <c r="C32" s="97" t="s">
        <v>48</v>
      </c>
      <c r="D32" s="128">
        <f>D26-SUM(D29:D31)</f>
        <v>74748.47</v>
      </c>
      <c r="E32" s="128">
        <f>E26-SUM(E29:E31)</f>
        <v>56170.240000000005</v>
      </c>
      <c r="F32" s="128">
        <f>F26-SUM(F29:F31)</f>
        <v>18578.229999999996</v>
      </c>
      <c r="G32" s="128">
        <f>G26-SUM(G29:G31)</f>
        <v>0</v>
      </c>
      <c r="H32" s="74"/>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row>
    <row r="33" spans="1:35" x14ac:dyDescent="0.25">
      <c r="A33" s="63"/>
      <c r="B33" s="68"/>
      <c r="C33" s="104" t="s">
        <v>373</v>
      </c>
      <c r="D33" s="130">
        <f>IFERROR(D32/D26,0)</f>
        <v>0.56850231900455062</v>
      </c>
      <c r="E33" s="130">
        <f>IFERROR(E32/E26,0)</f>
        <v>0.69339392346578455</v>
      </c>
      <c r="F33" s="130">
        <f>IFERROR(F32/F26,0)</f>
        <v>0.3680646730242127</v>
      </c>
      <c r="G33" s="130">
        <f>IFERROR(G32/G26,0)</f>
        <v>0</v>
      </c>
      <c r="H33" s="74"/>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row>
    <row r="34" spans="1:35" x14ac:dyDescent="0.25">
      <c r="A34" s="63"/>
      <c r="B34" s="68"/>
      <c r="C34" s="88"/>
      <c r="D34" s="131"/>
      <c r="E34" s="131"/>
      <c r="F34" s="131"/>
      <c r="G34" s="131"/>
      <c r="H34" s="74"/>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row>
    <row r="35" spans="1:35" x14ac:dyDescent="0.25">
      <c r="A35" s="63"/>
      <c r="B35" s="68"/>
      <c r="C35" s="89" t="s">
        <v>374</v>
      </c>
      <c r="D35" s="125"/>
      <c r="E35" s="125"/>
      <c r="F35" s="125"/>
      <c r="G35" s="125"/>
      <c r="H35" s="74"/>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row>
    <row r="36" spans="1:35" x14ac:dyDescent="0.25">
      <c r="A36" s="63"/>
      <c r="B36" s="68"/>
      <c r="C36" s="80" t="s">
        <v>218</v>
      </c>
      <c r="D36" s="126">
        <f t="shared" ref="D36:D44" si="0">SUM(E36:G36)</f>
        <v>55506.25</v>
      </c>
      <c r="E36" s="140">
        <f>SUMIFS('IS GL Summary'!$F:$F,'IS GL Summary'!$B:$B,"&gt;="&amp;$D$12,'IS GL Summary'!$G:$G,'P&amp;L by Class'!$C36,'IS GL Summary'!$E:$E,E$18)-SUMIFS('IS GL Summary'!$F:$F,'IS GL Summary'!$B:$B,"&gt;"&amp;$D$13,'IS GL Summary'!$G:$G,$C36,'IS GL Summary'!$E:$E,E$18)</f>
        <v>0</v>
      </c>
      <c r="F36" s="140">
        <f>SUMIFS('IS GL Summary'!$F:$F,'IS GL Summary'!$B:$B,"&gt;="&amp;$D$12,'IS GL Summary'!$G:$G,'P&amp;L by Class'!$C36,'IS GL Summary'!$E:$E,F$18)-SUMIFS('IS GL Summary'!$F:$F,'IS GL Summary'!$B:$B,"&gt;"&amp;$D$13,'IS GL Summary'!$G:$G,$C36,'IS GL Summary'!$E:$E,F$18)</f>
        <v>0</v>
      </c>
      <c r="G36" s="140">
        <f>SUMIFS('IS GL Summary'!$F:$F,'IS GL Summary'!$B:$B,"&gt;="&amp;$D$12,'IS GL Summary'!$G:$G,'P&amp;L by Class'!$C36,'IS GL Summary'!$E:$E,G$18)-SUMIFS('IS GL Summary'!$F:$F,'IS GL Summary'!$B:$B,"&gt;"&amp;$D$13,'IS GL Summary'!$G:$G,$C36,'IS GL Summary'!$E:$E,G$18)</f>
        <v>55506.25</v>
      </c>
      <c r="H36" s="74"/>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row>
    <row r="37" spans="1:35" x14ac:dyDescent="0.25">
      <c r="A37" s="63"/>
      <c r="B37" s="68"/>
      <c r="C37" s="80" t="s">
        <v>219</v>
      </c>
      <c r="D37" s="126">
        <f t="shared" si="0"/>
        <v>13385.699999999999</v>
      </c>
      <c r="E37" s="140">
        <f>SUMIFS('IS GL Summary'!$F:$F,'IS GL Summary'!$B:$B,"&gt;="&amp;$D$12,'IS GL Summary'!$G:$G,'P&amp;L by Class'!$C37,'IS GL Summary'!$E:$E,E$18)-SUMIFS('IS GL Summary'!$F:$F,'IS GL Summary'!$B:$B,"&gt;"&amp;$D$13,'IS GL Summary'!$G:$G,$C37,'IS GL Summary'!$E:$E,E$18)</f>
        <v>0</v>
      </c>
      <c r="F37" s="140">
        <f>SUMIFS('IS GL Summary'!$F:$F,'IS GL Summary'!$B:$B,"&gt;="&amp;$D$12,'IS GL Summary'!$G:$G,'P&amp;L by Class'!$C37,'IS GL Summary'!$E:$E,F$18)-SUMIFS('IS GL Summary'!$F:$F,'IS GL Summary'!$B:$B,"&gt;"&amp;$D$13,'IS GL Summary'!$G:$G,$C37,'IS GL Summary'!$E:$E,F$18)</f>
        <v>0</v>
      </c>
      <c r="G37" s="140">
        <f>SUMIFS('IS GL Summary'!$F:$F,'IS GL Summary'!$B:$B,"&gt;="&amp;$D$12,'IS GL Summary'!$G:$G,'P&amp;L by Class'!$C37,'IS GL Summary'!$E:$E,G$18)-SUMIFS('IS GL Summary'!$F:$F,'IS GL Summary'!$B:$B,"&gt;"&amp;$D$13,'IS GL Summary'!$G:$G,$C37,'IS GL Summary'!$E:$E,G$18)</f>
        <v>13385.699999999999</v>
      </c>
      <c r="H37" s="74"/>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row>
    <row r="38" spans="1:35" x14ac:dyDescent="0.25">
      <c r="A38" s="63"/>
      <c r="B38" s="68"/>
      <c r="C38" s="80" t="s">
        <v>222</v>
      </c>
      <c r="D38" s="126">
        <f t="shared" si="0"/>
        <v>4403.2299999999996</v>
      </c>
      <c r="E38" s="140">
        <f>SUMIFS('IS GL Summary'!$F:$F,'IS GL Summary'!$B:$B,"&gt;="&amp;$D$12,'IS GL Summary'!$G:$G,'P&amp;L by Class'!$C38,'IS GL Summary'!$E:$E,E$18)-SUMIFS('IS GL Summary'!$F:$F,'IS GL Summary'!$B:$B,"&gt;"&amp;$D$13,'IS GL Summary'!$G:$G,$C38,'IS GL Summary'!$E:$E,E$18)</f>
        <v>0</v>
      </c>
      <c r="F38" s="140">
        <f>SUMIFS('IS GL Summary'!$F:$F,'IS GL Summary'!$B:$B,"&gt;="&amp;$D$12,'IS GL Summary'!$G:$G,'P&amp;L by Class'!$C38,'IS GL Summary'!$E:$E,F$18)-SUMIFS('IS GL Summary'!$F:$F,'IS GL Summary'!$B:$B,"&gt;"&amp;$D$13,'IS GL Summary'!$G:$G,$C38,'IS GL Summary'!$E:$E,F$18)</f>
        <v>0</v>
      </c>
      <c r="G38" s="140">
        <f>SUMIFS('IS GL Summary'!$F:$F,'IS GL Summary'!$B:$B,"&gt;="&amp;$D$12,'IS GL Summary'!$G:$G,'P&amp;L by Class'!$C38,'IS GL Summary'!$E:$E,G$18)-SUMIFS('IS GL Summary'!$F:$F,'IS GL Summary'!$B:$B,"&gt;"&amp;$D$13,'IS GL Summary'!$G:$G,$C38,'IS GL Summary'!$E:$E,G$18)</f>
        <v>4403.2299999999996</v>
      </c>
      <c r="H38" s="74"/>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row>
    <row r="39" spans="1:35" x14ac:dyDescent="0.25">
      <c r="A39" s="63"/>
      <c r="B39" s="68"/>
      <c r="C39" s="80" t="s">
        <v>126</v>
      </c>
      <c r="D39" s="126">
        <f t="shared" si="0"/>
        <v>2490.19</v>
      </c>
      <c r="E39" s="140">
        <f>SUMIFS('IS GL Summary'!$F:$F,'IS GL Summary'!$B:$B,"&gt;="&amp;$D$12,'IS GL Summary'!$G:$G,'P&amp;L by Class'!$C39,'IS GL Summary'!$E:$E,E$18)-SUMIFS('IS GL Summary'!$F:$F,'IS GL Summary'!$B:$B,"&gt;"&amp;$D$13,'IS GL Summary'!$G:$G,$C39,'IS GL Summary'!$E:$E,E$18)</f>
        <v>0</v>
      </c>
      <c r="F39" s="140">
        <f>SUMIFS('IS GL Summary'!$F:$F,'IS GL Summary'!$B:$B,"&gt;="&amp;$D$12,'IS GL Summary'!$G:$G,'P&amp;L by Class'!$C39,'IS GL Summary'!$E:$E,F$18)-SUMIFS('IS GL Summary'!$F:$F,'IS GL Summary'!$B:$B,"&gt;"&amp;$D$13,'IS GL Summary'!$G:$G,$C39,'IS GL Summary'!$E:$E,F$18)</f>
        <v>-115.31</v>
      </c>
      <c r="G39" s="140">
        <f>SUMIFS('IS GL Summary'!$F:$F,'IS GL Summary'!$B:$B,"&gt;="&amp;$D$12,'IS GL Summary'!$G:$G,'P&amp;L by Class'!$C39,'IS GL Summary'!$E:$E,G$18)-SUMIFS('IS GL Summary'!$F:$F,'IS GL Summary'!$B:$B,"&gt;"&amp;$D$13,'IS GL Summary'!$G:$G,$C39,'IS GL Summary'!$E:$E,G$18)</f>
        <v>2605.5</v>
      </c>
      <c r="H39" s="74"/>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row>
    <row r="40" spans="1:35" x14ac:dyDescent="0.25">
      <c r="A40" s="63"/>
      <c r="B40" s="68"/>
      <c r="C40" s="80" t="s">
        <v>221</v>
      </c>
      <c r="D40" s="126">
        <f t="shared" si="0"/>
        <v>697.38</v>
      </c>
      <c r="E40" s="140">
        <f>SUMIFS('IS GL Summary'!$F:$F,'IS GL Summary'!$B:$B,"&gt;="&amp;$D$12,'IS GL Summary'!$G:$G,'P&amp;L by Class'!$C40,'IS GL Summary'!$E:$E,E$18)-SUMIFS('IS GL Summary'!$F:$F,'IS GL Summary'!$B:$B,"&gt;"&amp;$D$13,'IS GL Summary'!$G:$G,$C40,'IS GL Summary'!$E:$E,E$18)</f>
        <v>0</v>
      </c>
      <c r="F40" s="140">
        <f>SUMIFS('IS GL Summary'!$F:$F,'IS GL Summary'!$B:$B,"&gt;="&amp;$D$12,'IS GL Summary'!$G:$G,'P&amp;L by Class'!$C40,'IS GL Summary'!$E:$E,F$18)-SUMIFS('IS GL Summary'!$F:$F,'IS GL Summary'!$B:$B,"&gt;"&amp;$D$13,'IS GL Summary'!$G:$G,$C40,'IS GL Summary'!$E:$E,F$18)</f>
        <v>675.26</v>
      </c>
      <c r="G40" s="140">
        <f>SUMIFS('IS GL Summary'!$F:$F,'IS GL Summary'!$B:$B,"&gt;="&amp;$D$12,'IS GL Summary'!$G:$G,'P&amp;L by Class'!$C40,'IS GL Summary'!$E:$E,G$18)-SUMIFS('IS GL Summary'!$F:$F,'IS GL Summary'!$B:$B,"&gt;"&amp;$D$13,'IS GL Summary'!$G:$G,$C40,'IS GL Summary'!$E:$E,G$18)</f>
        <v>22.12</v>
      </c>
      <c r="H40" s="74"/>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row>
    <row r="41" spans="1:35" x14ac:dyDescent="0.25">
      <c r="A41" s="63"/>
      <c r="B41" s="68"/>
      <c r="C41" s="80" t="s">
        <v>220</v>
      </c>
      <c r="D41" s="126">
        <f t="shared" si="0"/>
        <v>28.88</v>
      </c>
      <c r="E41" s="140">
        <f>SUMIFS('IS GL Summary'!$F:$F,'IS GL Summary'!$B:$B,"&gt;="&amp;$D$12,'IS GL Summary'!$G:$G,'P&amp;L by Class'!$C41,'IS GL Summary'!$E:$E,E$18)-SUMIFS('IS GL Summary'!$F:$F,'IS GL Summary'!$B:$B,"&gt;"&amp;$D$13,'IS GL Summary'!$G:$G,$C41,'IS GL Summary'!$E:$E,E$18)</f>
        <v>0</v>
      </c>
      <c r="F41" s="140">
        <f>SUMIFS('IS GL Summary'!$F:$F,'IS GL Summary'!$B:$B,"&gt;="&amp;$D$12,'IS GL Summary'!$G:$G,'P&amp;L by Class'!$C41,'IS GL Summary'!$E:$E,F$18)-SUMIFS('IS GL Summary'!$F:$F,'IS GL Summary'!$B:$B,"&gt;"&amp;$D$13,'IS GL Summary'!$G:$G,$C41,'IS GL Summary'!$E:$E,F$18)</f>
        <v>0</v>
      </c>
      <c r="G41" s="140">
        <f>SUMIFS('IS GL Summary'!$F:$F,'IS GL Summary'!$B:$B,"&gt;="&amp;$D$12,'IS GL Summary'!$G:$G,'P&amp;L by Class'!$C41,'IS GL Summary'!$E:$E,G$18)-SUMIFS('IS GL Summary'!$F:$F,'IS GL Summary'!$B:$B,"&gt;"&amp;$D$13,'IS GL Summary'!$G:$G,$C41,'IS GL Summary'!$E:$E,G$18)</f>
        <v>28.88</v>
      </c>
      <c r="H41" s="74"/>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row>
    <row r="42" spans="1:35" x14ac:dyDescent="0.25">
      <c r="A42" s="63"/>
      <c r="B42" s="68"/>
      <c r="C42" s="80" t="s">
        <v>223</v>
      </c>
      <c r="D42" s="126">
        <f t="shared" si="0"/>
        <v>1469.3600000000001</v>
      </c>
      <c r="E42" s="140">
        <f>SUMIFS('IS GL Summary'!$F:$F,'IS GL Summary'!$B:$B,"&gt;="&amp;$D$12,'IS GL Summary'!$G:$G,'P&amp;L by Class'!$C42,'IS GL Summary'!$E:$E,E$18)-SUMIFS('IS GL Summary'!$F:$F,'IS GL Summary'!$B:$B,"&gt;"&amp;$D$13,'IS GL Summary'!$G:$G,$C42,'IS GL Summary'!$E:$E,E$18)</f>
        <v>0</v>
      </c>
      <c r="F42" s="140">
        <f>SUMIFS('IS GL Summary'!$F:$F,'IS GL Summary'!$B:$B,"&gt;="&amp;$D$12,'IS GL Summary'!$G:$G,'P&amp;L by Class'!$C42,'IS GL Summary'!$E:$E,F$18)-SUMIFS('IS GL Summary'!$F:$F,'IS GL Summary'!$B:$B,"&gt;"&amp;$D$13,'IS GL Summary'!$G:$G,$C42,'IS GL Summary'!$E:$E,F$18)</f>
        <v>0</v>
      </c>
      <c r="G42" s="140">
        <f>SUMIFS('IS GL Summary'!$F:$F,'IS GL Summary'!$B:$B,"&gt;="&amp;$D$12,'IS GL Summary'!$G:$G,'P&amp;L by Class'!$C42,'IS GL Summary'!$E:$E,G$18)-SUMIFS('IS GL Summary'!$F:$F,'IS GL Summary'!$B:$B,"&gt;"&amp;$D$13,'IS GL Summary'!$G:$G,$C42,'IS GL Summary'!$E:$E,G$18)</f>
        <v>1469.3600000000001</v>
      </c>
      <c r="H42" s="74"/>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row>
    <row r="43" spans="1:35" x14ac:dyDescent="0.25">
      <c r="A43" s="63"/>
      <c r="B43" s="68"/>
      <c r="C43" s="80" t="s">
        <v>225</v>
      </c>
      <c r="D43" s="126">
        <f t="shared" si="0"/>
        <v>0</v>
      </c>
      <c r="E43" s="140">
        <f>SUMIFS('IS GL Summary'!$F:$F,'IS GL Summary'!$B:$B,"&gt;="&amp;$D$12,'IS GL Summary'!$G:$G,'P&amp;L by Class'!$C43,'IS GL Summary'!$E:$E,E$18)-SUMIFS('IS GL Summary'!$F:$F,'IS GL Summary'!$B:$B,"&gt;"&amp;$D$13,'IS GL Summary'!$G:$G,$C43,'IS GL Summary'!$E:$E,E$18)</f>
        <v>0</v>
      </c>
      <c r="F43" s="140">
        <f>SUMIFS('IS GL Summary'!$F:$F,'IS GL Summary'!$B:$B,"&gt;="&amp;$D$12,'IS GL Summary'!$G:$G,'P&amp;L by Class'!$C43,'IS GL Summary'!$E:$E,F$18)-SUMIFS('IS GL Summary'!$F:$F,'IS GL Summary'!$B:$B,"&gt;"&amp;$D$13,'IS GL Summary'!$G:$G,$C43,'IS GL Summary'!$E:$E,F$18)</f>
        <v>0</v>
      </c>
      <c r="G43" s="140">
        <f>SUMIFS('IS GL Summary'!$F:$F,'IS GL Summary'!$B:$B,"&gt;="&amp;$D$12,'IS GL Summary'!$G:$G,'P&amp;L by Class'!$C43,'IS GL Summary'!$E:$E,G$18)-SUMIFS('IS GL Summary'!$F:$F,'IS GL Summary'!$B:$B,"&gt;"&amp;$D$13,'IS GL Summary'!$G:$G,$C43,'IS GL Summary'!$E:$E,G$18)</f>
        <v>0</v>
      </c>
      <c r="H43" s="74"/>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row>
    <row r="44" spans="1:35" x14ac:dyDescent="0.25">
      <c r="A44" s="63"/>
      <c r="B44" s="68"/>
      <c r="C44" s="80" t="s">
        <v>217</v>
      </c>
      <c r="D44" s="126">
        <f t="shared" si="0"/>
        <v>1256.25</v>
      </c>
      <c r="E44" s="140">
        <f>SUMIFS('IS GL Summary'!$F:$F,'IS GL Summary'!$B:$B,"&gt;="&amp;$D$12,'IS GL Summary'!$G:$G,'P&amp;L by Class'!$C44,'IS GL Summary'!$E:$E,E$18)-SUMIFS('IS GL Summary'!$F:$F,'IS GL Summary'!$B:$B,"&gt;"&amp;$D$13,'IS GL Summary'!$G:$G,$C44,'IS GL Summary'!$E:$E,E$18)</f>
        <v>0</v>
      </c>
      <c r="F44" s="140">
        <f>SUMIFS('IS GL Summary'!$F:$F,'IS GL Summary'!$B:$B,"&gt;="&amp;$D$12,'IS GL Summary'!$G:$G,'P&amp;L by Class'!$C44,'IS GL Summary'!$E:$E,F$18)-SUMIFS('IS GL Summary'!$F:$F,'IS GL Summary'!$B:$B,"&gt;"&amp;$D$13,'IS GL Summary'!$G:$G,$C44,'IS GL Summary'!$E:$E,F$18)</f>
        <v>592.5</v>
      </c>
      <c r="G44" s="140">
        <f>SUMIFS('IS GL Summary'!$F:$F,'IS GL Summary'!$B:$B,"&gt;="&amp;$D$12,'IS GL Summary'!$G:$G,'P&amp;L by Class'!$C44,'IS GL Summary'!$E:$E,G$18)-SUMIFS('IS GL Summary'!$F:$F,'IS GL Summary'!$B:$B,"&gt;"&amp;$D$13,'IS GL Summary'!$G:$G,$C44,'IS GL Summary'!$E:$E,G$18)</f>
        <v>663.75</v>
      </c>
      <c r="H44" s="74"/>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row>
    <row r="45" spans="1:35" ht="6" customHeight="1" x14ac:dyDescent="0.25">
      <c r="A45" s="63"/>
      <c r="B45" s="68"/>
      <c r="C45" s="88"/>
      <c r="D45" s="127"/>
      <c r="E45" s="127"/>
      <c r="F45" s="127"/>
      <c r="G45" s="127"/>
      <c r="H45" s="74"/>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row>
    <row r="46" spans="1:35" x14ac:dyDescent="0.25">
      <c r="A46" s="63"/>
      <c r="B46" s="68"/>
      <c r="C46" s="97" t="s">
        <v>375</v>
      </c>
      <c r="D46" s="128">
        <f>SUM(D36:D45)</f>
        <v>79237.240000000005</v>
      </c>
      <c r="E46" s="128">
        <f>SUM(E36:E45)</f>
        <v>0</v>
      </c>
      <c r="F46" s="128">
        <f>SUM(F36:F45)</f>
        <v>1152.45</v>
      </c>
      <c r="G46" s="128">
        <f>SUM(G36:G45)</f>
        <v>78084.789999999994</v>
      </c>
      <c r="H46" s="74"/>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row>
    <row r="47" spans="1:35" x14ac:dyDescent="0.25">
      <c r="A47" s="63"/>
      <c r="B47" s="68"/>
      <c r="C47" s="88"/>
      <c r="D47" s="131"/>
      <c r="E47" s="131"/>
      <c r="F47" s="131"/>
      <c r="G47" s="131"/>
      <c r="H47" s="74"/>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row>
    <row r="48" spans="1:35" x14ac:dyDescent="0.25">
      <c r="A48" s="63"/>
      <c r="B48" s="68"/>
      <c r="C48" s="97" t="s">
        <v>130</v>
      </c>
      <c r="D48" s="128">
        <f>D32-D46</f>
        <v>-4488.7700000000041</v>
      </c>
      <c r="E48" s="128">
        <f>E32-E46</f>
        <v>56170.240000000005</v>
      </c>
      <c r="F48" s="128">
        <f>F32-F46</f>
        <v>17425.779999999995</v>
      </c>
      <c r="G48" s="128">
        <f>G32-G46</f>
        <v>-78084.789999999994</v>
      </c>
      <c r="H48" s="74"/>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row>
    <row r="49" spans="1:35" ht="4.95" customHeight="1" x14ac:dyDescent="0.25">
      <c r="A49" s="63"/>
      <c r="B49" s="68"/>
      <c r="C49" s="88"/>
      <c r="D49" s="131"/>
      <c r="E49" s="131"/>
      <c r="F49" s="131"/>
      <c r="G49" s="131"/>
      <c r="H49" s="74"/>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row>
    <row r="50" spans="1:35" x14ac:dyDescent="0.25">
      <c r="A50" s="63"/>
      <c r="B50" s="68"/>
      <c r="C50" s="112" t="s">
        <v>226</v>
      </c>
      <c r="D50" s="126">
        <f>SUM(E50:G50)</f>
        <v>0</v>
      </c>
      <c r="E50" s="140">
        <f>SUMIFS('IS GL Summary'!$F:$F,'IS GL Summary'!$B:$B,"&gt;="&amp;$D$12,'IS GL Summary'!$G:$G,'P&amp;L by Class'!$C50,'IS GL Summary'!$E:$E,E$18)-SUMIFS('IS GL Summary'!$F:$F,'IS GL Summary'!$B:$B,"&gt;"&amp;$D$13,'IS GL Summary'!$G:$G,$C50,'IS GL Summary'!$E:$E,E$18)</f>
        <v>0</v>
      </c>
      <c r="F50" s="140">
        <f>SUMIFS('IS GL Summary'!$F:$F,'IS GL Summary'!$B:$B,"&gt;="&amp;$D$12,'IS GL Summary'!$G:$G,'P&amp;L by Class'!$C50,'IS GL Summary'!$E:$E,F$18)-SUMIFS('IS GL Summary'!$F:$F,'IS GL Summary'!$B:$B,"&gt;"&amp;$D$13,'IS GL Summary'!$G:$G,$C50,'IS GL Summary'!$E:$E,F$18)</f>
        <v>0</v>
      </c>
      <c r="G50" s="140">
        <f>SUMIFS('IS GL Summary'!$F:$F,'IS GL Summary'!$B:$B,"&gt;="&amp;$D$12,'IS GL Summary'!$G:$G,'P&amp;L by Class'!$C50,'IS GL Summary'!$E:$E,G$18)-SUMIFS('IS GL Summary'!$F:$F,'IS GL Summary'!$B:$B,"&gt;"&amp;$D$13,'IS GL Summary'!$G:$G,$C50,'IS GL Summary'!$E:$E,G$18)</f>
        <v>0</v>
      </c>
      <c r="H50" s="74"/>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row>
    <row r="51" spans="1:35" ht="6" customHeight="1" x14ac:dyDescent="0.25">
      <c r="A51" s="63"/>
      <c r="B51" s="68"/>
      <c r="C51" s="88"/>
      <c r="D51" s="127"/>
      <c r="E51" s="127"/>
      <c r="F51" s="127"/>
      <c r="G51" s="127"/>
      <c r="H51" s="74"/>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row>
    <row r="52" spans="1:35" ht="13.8" thickBot="1" x14ac:dyDescent="0.3">
      <c r="A52" s="63"/>
      <c r="B52" s="68"/>
      <c r="C52" s="114" t="s">
        <v>12</v>
      </c>
      <c r="D52" s="132">
        <f>D48-D50</f>
        <v>-4488.7700000000041</v>
      </c>
      <c r="E52" s="132">
        <f>E48-E50</f>
        <v>56170.240000000005</v>
      </c>
      <c r="F52" s="132">
        <f>F48-F50</f>
        <v>17425.779999999995</v>
      </c>
      <c r="G52" s="132">
        <f>G48-G50</f>
        <v>-78084.789999999994</v>
      </c>
      <c r="H52" s="74"/>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row>
    <row r="53" spans="1:35" ht="13.8" thickTop="1" x14ac:dyDescent="0.25">
      <c r="A53" s="63"/>
      <c r="B53" s="81"/>
      <c r="C53" s="133" t="s">
        <v>368</v>
      </c>
      <c r="D53" s="134"/>
      <c r="E53" s="134"/>
      <c r="F53" s="134"/>
      <c r="G53" s="134"/>
      <c r="H53" s="82"/>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row>
    <row r="54" spans="1:35" x14ac:dyDescent="0.25">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row>
    <row r="55" spans="1:35" x14ac:dyDescent="0.25">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row>
    <row r="56" spans="1:35" x14ac:dyDescent="0.25">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row>
    <row r="57" spans="1:35" x14ac:dyDescent="0.25">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row>
    <row r="58" spans="1:35" x14ac:dyDescent="0.25">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row>
    <row r="59" spans="1:35" x14ac:dyDescent="0.25">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row>
    <row r="60" spans="1:35" x14ac:dyDescent="0.25">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row>
    <row r="61" spans="1:35" x14ac:dyDescent="0.25">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row>
    <row r="62" spans="1:35" x14ac:dyDescent="0.25">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row>
    <row r="63" spans="1:35" x14ac:dyDescent="0.25">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row>
    <row r="64" spans="1:35" x14ac:dyDescent="0.2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row>
    <row r="65" spans="1:35" x14ac:dyDescent="0.25">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row>
    <row r="66" spans="1:35" x14ac:dyDescent="0.25">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row>
    <row r="67" spans="1:35" x14ac:dyDescent="0.25">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row>
    <row r="68" spans="1:35" x14ac:dyDescent="0.25">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49318B9-46E4-419C-AC6B-CD2F549EE3C1}">
          <x14:formula1>
            <xm:f>'Date Mapping'!$R$9:$R$18</xm:f>
          </x14:formula1>
          <xm:sqref>D6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AB749-45C1-4D98-8672-3CCB7B2BE5C8}">
  <dimension ref="A1:AG72"/>
  <sheetViews>
    <sheetView showGridLines="0" zoomScaleNormal="100" workbookViewId="0">
      <pane ySplit="12" topLeftCell="A13" activePane="bottomLeft" state="frozen"/>
      <selection activeCell="M106" sqref="M106"/>
      <selection pane="bottomLeft" activeCell="D16" sqref="D16"/>
    </sheetView>
  </sheetViews>
  <sheetFormatPr defaultRowHeight="13.2" x14ac:dyDescent="0.25"/>
  <cols>
    <col min="1" max="1" width="1.77734375" style="2" customWidth="1"/>
    <col min="2" max="2" width="2.21875" style="2" customWidth="1"/>
    <col min="3" max="3" width="24.21875" style="2" bestFit="1" customWidth="1"/>
    <col min="4" max="15" width="13.109375" style="2" customWidth="1"/>
    <col min="16" max="16" width="1.109375" style="2" customWidth="1"/>
    <col min="17" max="24" width="16.109375" style="2" customWidth="1"/>
    <col min="25" max="16384" width="8.88671875" style="2"/>
  </cols>
  <sheetData>
    <row r="1" spans="1:32" x14ac:dyDescent="0.25">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row>
    <row r="2" spans="1:32" ht="20.100000000000001" customHeight="1" x14ac:dyDescent="0.25">
      <c r="A2" s="63"/>
      <c r="B2" s="144" t="s">
        <v>390</v>
      </c>
      <c r="C2" s="64"/>
      <c r="D2" s="64"/>
      <c r="E2" s="64"/>
      <c r="F2" s="64"/>
      <c r="G2" s="64"/>
      <c r="H2" s="64"/>
      <c r="I2" s="64"/>
      <c r="J2" s="64"/>
      <c r="K2" s="64"/>
      <c r="L2" s="64"/>
      <c r="M2" s="64"/>
      <c r="N2" s="64"/>
      <c r="O2" s="64"/>
      <c r="P2" s="65"/>
      <c r="Q2" s="63"/>
      <c r="R2" s="63"/>
      <c r="S2" s="63"/>
      <c r="T2" s="63"/>
      <c r="U2" s="63"/>
      <c r="V2" s="63"/>
      <c r="W2" s="63"/>
      <c r="X2" s="63"/>
      <c r="Y2" s="63"/>
      <c r="Z2" s="63"/>
      <c r="AA2" s="63"/>
      <c r="AB2" s="63"/>
      <c r="AC2" s="63"/>
      <c r="AD2" s="63"/>
      <c r="AE2" s="63"/>
      <c r="AF2" s="63"/>
    </row>
    <row r="3" spans="1:32" ht="16.2" customHeight="1" x14ac:dyDescent="0.25">
      <c r="A3" s="63"/>
      <c r="B3" s="145" t="str" cm="1">
        <f t="array" aca="1" ref="B3" ca="1">MID(CELL("filename",A1),FIND("]",CELL("filename",A1))+1,255)</f>
        <v>Trending Balance Sheet</v>
      </c>
      <c r="C3" s="66"/>
      <c r="D3" s="66"/>
      <c r="E3" s="66"/>
      <c r="F3" s="66"/>
      <c r="G3" s="66"/>
      <c r="H3" s="66"/>
      <c r="I3" s="66"/>
      <c r="J3" s="66"/>
      <c r="K3" s="66"/>
      <c r="L3" s="66"/>
      <c r="M3" s="66"/>
      <c r="N3" s="66"/>
      <c r="O3" s="66"/>
      <c r="P3" s="67"/>
      <c r="Q3" s="63"/>
      <c r="R3" s="63"/>
      <c r="S3" s="63"/>
      <c r="T3" s="63"/>
      <c r="U3" s="63"/>
      <c r="V3" s="63"/>
      <c r="W3" s="63"/>
      <c r="X3" s="63"/>
      <c r="Y3" s="63"/>
      <c r="Z3" s="63"/>
      <c r="AA3" s="63"/>
      <c r="AB3" s="63"/>
      <c r="AC3" s="63"/>
      <c r="AD3" s="63"/>
      <c r="AE3" s="63"/>
      <c r="AF3" s="63"/>
    </row>
    <row r="4" spans="1:32" ht="5.4" customHeight="1" x14ac:dyDescent="0.25">
      <c r="A4" s="63"/>
      <c r="B4" s="68"/>
      <c r="C4" s="69"/>
      <c r="D4" s="69"/>
      <c r="E4" s="69"/>
      <c r="F4" s="69"/>
      <c r="G4" s="69"/>
      <c r="H4" s="69"/>
      <c r="I4" s="69"/>
      <c r="J4" s="69"/>
      <c r="K4" s="69"/>
      <c r="L4" s="69"/>
      <c r="M4" s="69"/>
      <c r="N4" s="69"/>
      <c r="O4" s="69"/>
      <c r="P4" s="70"/>
      <c r="Q4" s="63"/>
      <c r="R4" s="63"/>
      <c r="S4" s="63"/>
      <c r="T4" s="63"/>
      <c r="U4" s="63"/>
      <c r="V4" s="63"/>
      <c r="W4" s="63"/>
      <c r="X4" s="63"/>
      <c r="Y4" s="63"/>
      <c r="Z4" s="63"/>
      <c r="AA4" s="63"/>
      <c r="AB4" s="63"/>
      <c r="AC4" s="63"/>
      <c r="AD4" s="63"/>
      <c r="AE4" s="63"/>
      <c r="AF4" s="63"/>
    </row>
    <row r="5" spans="1:32" x14ac:dyDescent="0.25">
      <c r="A5" s="63"/>
      <c r="B5" s="68"/>
      <c r="C5" s="2" t="s">
        <v>369</v>
      </c>
      <c r="D5" s="201">
        <f>'Date Mapping'!S1</f>
        <v>46112</v>
      </c>
      <c r="E5" s="83"/>
      <c r="P5" s="74"/>
      <c r="Q5" s="63"/>
      <c r="R5" s="63"/>
      <c r="S5" s="63"/>
      <c r="T5" s="63"/>
      <c r="U5" s="63"/>
      <c r="V5" s="63"/>
      <c r="W5" s="63"/>
      <c r="X5" s="63"/>
      <c r="Y5" s="63"/>
      <c r="Z5" s="63"/>
      <c r="AA5" s="63"/>
      <c r="AB5" s="63"/>
      <c r="AC5" s="63"/>
      <c r="AD5" s="63"/>
      <c r="AE5" s="63"/>
      <c r="AF5" s="63"/>
    </row>
    <row r="6" spans="1:32" x14ac:dyDescent="0.25">
      <c r="A6" s="63"/>
      <c r="B6" s="68"/>
      <c r="G6" s="83"/>
      <c r="H6" s="83"/>
      <c r="I6" s="83"/>
      <c r="J6" s="83"/>
      <c r="K6" s="83"/>
      <c r="L6" s="83"/>
      <c r="M6" s="83"/>
      <c r="N6" s="83"/>
      <c r="O6" s="83"/>
      <c r="P6" s="74"/>
      <c r="Q6" s="63"/>
      <c r="R6" s="63"/>
      <c r="S6" s="63"/>
      <c r="T6" s="63"/>
      <c r="U6" s="63"/>
      <c r="V6" s="63"/>
      <c r="W6" s="63"/>
      <c r="X6" s="63"/>
      <c r="Y6" s="63"/>
      <c r="Z6" s="63"/>
      <c r="AA6" s="63"/>
      <c r="AB6" s="63"/>
      <c r="AC6" s="63"/>
      <c r="AD6" s="63"/>
      <c r="AE6" s="63"/>
      <c r="AF6" s="63"/>
    </row>
    <row r="7" spans="1:32" ht="2.4" customHeight="1" x14ac:dyDescent="0.25">
      <c r="A7" s="63"/>
      <c r="B7" s="68"/>
      <c r="E7" s="83"/>
      <c r="F7" s="83"/>
      <c r="G7" s="83"/>
      <c r="H7" s="83"/>
      <c r="I7" s="83"/>
      <c r="J7" s="83"/>
      <c r="K7" s="83"/>
      <c r="L7" s="83"/>
      <c r="M7" s="83"/>
      <c r="N7" s="83"/>
      <c r="O7" s="83"/>
      <c r="P7" s="74"/>
      <c r="Q7" s="63"/>
      <c r="R7" s="63"/>
      <c r="S7" s="63"/>
      <c r="T7" s="63"/>
      <c r="U7" s="63"/>
      <c r="V7" s="63"/>
      <c r="W7" s="63"/>
      <c r="X7" s="63"/>
      <c r="Y7" s="63"/>
      <c r="Z7" s="63"/>
      <c r="AA7" s="63"/>
      <c r="AB7" s="63"/>
      <c r="AC7" s="63"/>
      <c r="AD7" s="63"/>
      <c r="AE7" s="63"/>
      <c r="AF7" s="63"/>
    </row>
    <row r="8" spans="1:32" x14ac:dyDescent="0.25">
      <c r="A8" s="63"/>
      <c r="B8" s="68"/>
      <c r="P8" s="74"/>
      <c r="Q8" s="63"/>
      <c r="R8" s="63"/>
      <c r="S8" s="63"/>
      <c r="T8" s="63"/>
      <c r="U8" s="63"/>
      <c r="V8" s="63"/>
      <c r="W8" s="63"/>
      <c r="X8" s="63"/>
      <c r="Y8" s="63"/>
      <c r="Z8" s="63"/>
      <c r="AA8" s="63"/>
      <c r="AB8" s="63"/>
      <c r="AC8" s="63"/>
      <c r="AD8" s="63"/>
      <c r="AE8" s="63"/>
      <c r="AF8" s="63"/>
    </row>
    <row r="9" spans="1:32" ht="7.95" customHeight="1" x14ac:dyDescent="0.25">
      <c r="A9" s="63"/>
      <c r="B9" s="75"/>
      <c r="C9" s="86"/>
      <c r="D9" s="86"/>
      <c r="E9" s="86"/>
      <c r="F9" s="86"/>
      <c r="G9" s="86"/>
      <c r="H9" s="86"/>
      <c r="I9" s="86"/>
      <c r="J9" s="86"/>
      <c r="K9" s="86"/>
      <c r="L9" s="86"/>
      <c r="M9" s="86"/>
      <c r="N9" s="86"/>
      <c r="O9" s="86"/>
      <c r="P9" s="76"/>
      <c r="Q9" s="63"/>
      <c r="R9" s="63"/>
      <c r="S9" s="63"/>
      <c r="T9" s="63"/>
      <c r="U9" s="63"/>
      <c r="V9" s="63"/>
      <c r="W9" s="63"/>
      <c r="X9" s="63"/>
      <c r="Y9" s="63"/>
      <c r="Z9" s="63"/>
      <c r="AA9" s="63"/>
      <c r="AB9" s="63"/>
      <c r="AC9" s="63"/>
      <c r="AD9" s="63"/>
      <c r="AE9" s="63"/>
      <c r="AF9" s="63"/>
    </row>
    <row r="10" spans="1:32" ht="15.6" x14ac:dyDescent="0.3">
      <c r="A10" s="63"/>
      <c r="B10" s="71"/>
      <c r="C10" s="72" t="str" cm="1">
        <f t="array" aca="1" ref="C10" ca="1">MID(CELL("filename",A1),FIND("]",CELL("filename",A1))+1,255)</f>
        <v>Trending Balance Sheet</v>
      </c>
      <c r="D10" s="73"/>
      <c r="E10" s="73"/>
      <c r="F10" s="73"/>
      <c r="G10" s="73"/>
      <c r="H10" s="73"/>
      <c r="I10" s="73"/>
      <c r="J10" s="73"/>
      <c r="K10" s="73"/>
      <c r="L10" s="73"/>
      <c r="M10" s="73"/>
      <c r="N10" s="73"/>
      <c r="O10" s="73"/>
      <c r="P10" s="77"/>
      <c r="Q10" s="63"/>
      <c r="R10" s="63"/>
      <c r="S10" s="63"/>
      <c r="T10" s="63"/>
      <c r="U10" s="63"/>
      <c r="V10" s="63"/>
      <c r="W10" s="63"/>
      <c r="X10" s="63"/>
      <c r="Y10" s="63"/>
      <c r="Z10" s="63"/>
      <c r="AA10" s="63"/>
      <c r="AB10" s="63"/>
      <c r="AC10" s="63"/>
      <c r="AD10" s="63"/>
      <c r="AE10" s="63"/>
      <c r="AF10" s="63"/>
    </row>
    <row r="11" spans="1:32" ht="7.95" customHeight="1" x14ac:dyDescent="0.25">
      <c r="A11" s="63"/>
      <c r="B11" s="68"/>
      <c r="P11" s="74"/>
      <c r="Q11" s="63"/>
      <c r="R11" s="63"/>
      <c r="S11" s="63"/>
      <c r="T11" s="63"/>
      <c r="U11" s="63"/>
      <c r="V11" s="63"/>
      <c r="W11" s="63"/>
      <c r="X11" s="63"/>
      <c r="Y11" s="63"/>
      <c r="Z11" s="63"/>
      <c r="AA11" s="63"/>
      <c r="AB11" s="63"/>
      <c r="AC11" s="63"/>
      <c r="AD11" s="63"/>
      <c r="AE11" s="63"/>
      <c r="AF11" s="63"/>
    </row>
    <row r="12" spans="1:32" x14ac:dyDescent="0.25">
      <c r="A12" s="63"/>
      <c r="B12" s="68"/>
      <c r="D12" s="87">
        <v>46112</v>
      </c>
      <c r="E12" s="87">
        <f>EOMONTH(D12,-1)</f>
        <v>46081</v>
      </c>
      <c r="F12" s="87">
        <f t="shared" ref="F12:O12" si="0">EOMONTH(E12,-1)</f>
        <v>46053</v>
      </c>
      <c r="G12" s="87">
        <f t="shared" si="0"/>
        <v>46022</v>
      </c>
      <c r="H12" s="87">
        <f t="shared" si="0"/>
        <v>45991</v>
      </c>
      <c r="I12" s="87">
        <f t="shared" si="0"/>
        <v>45961</v>
      </c>
      <c r="J12" s="87">
        <f t="shared" si="0"/>
        <v>45930</v>
      </c>
      <c r="K12" s="87">
        <f t="shared" si="0"/>
        <v>45900</v>
      </c>
      <c r="L12" s="87">
        <f t="shared" si="0"/>
        <v>45869</v>
      </c>
      <c r="M12" s="87">
        <f t="shared" si="0"/>
        <v>45838</v>
      </c>
      <c r="N12" s="87">
        <f t="shared" si="0"/>
        <v>45808</v>
      </c>
      <c r="O12" s="87">
        <f t="shared" si="0"/>
        <v>45777</v>
      </c>
      <c r="P12" s="74"/>
      <c r="Q12" s="63"/>
      <c r="R12" s="63"/>
      <c r="S12" s="63"/>
      <c r="T12" s="63"/>
      <c r="U12" s="63"/>
      <c r="V12" s="63"/>
      <c r="W12" s="63"/>
      <c r="X12" s="63"/>
      <c r="Y12" s="63"/>
      <c r="Z12" s="63"/>
      <c r="AA12" s="63"/>
      <c r="AB12" s="63"/>
      <c r="AC12" s="63"/>
      <c r="AD12" s="63"/>
      <c r="AE12" s="63"/>
      <c r="AF12" s="63"/>
    </row>
    <row r="13" spans="1:32" ht="3.6" customHeight="1" x14ac:dyDescent="0.25">
      <c r="A13" s="63"/>
      <c r="B13" s="68"/>
      <c r="C13" s="88"/>
      <c r="D13" s="146"/>
      <c r="E13" s="146"/>
      <c r="F13" s="146"/>
      <c r="G13" s="146"/>
      <c r="H13" s="146"/>
      <c r="I13" s="146"/>
      <c r="J13" s="146"/>
      <c r="K13" s="146"/>
      <c r="L13" s="146"/>
      <c r="M13" s="146"/>
      <c r="N13" s="146"/>
      <c r="O13" s="146"/>
      <c r="P13" s="74"/>
      <c r="Q13" s="63"/>
      <c r="R13" s="63"/>
      <c r="S13" s="63"/>
      <c r="T13" s="63"/>
      <c r="U13" s="63"/>
      <c r="V13" s="63"/>
      <c r="W13" s="63"/>
      <c r="X13" s="63"/>
      <c r="Y13" s="63"/>
      <c r="Z13" s="63"/>
      <c r="AA13" s="63"/>
      <c r="AB13" s="63"/>
      <c r="AC13" s="63"/>
      <c r="AD13" s="63"/>
      <c r="AE13" s="63"/>
      <c r="AF13" s="63"/>
    </row>
    <row r="14" spans="1:32" x14ac:dyDescent="0.25">
      <c r="A14" s="63"/>
      <c r="B14" s="68"/>
      <c r="C14" s="89" t="s">
        <v>385</v>
      </c>
      <c r="D14" s="90"/>
      <c r="E14" s="91"/>
      <c r="F14" s="91"/>
      <c r="G14" s="91"/>
      <c r="H14" s="91"/>
      <c r="I14" s="91"/>
      <c r="J14" s="91"/>
      <c r="K14" s="91"/>
      <c r="L14" s="91"/>
      <c r="M14" s="91"/>
      <c r="N14" s="91"/>
      <c r="O14" s="92"/>
      <c r="P14" s="74"/>
      <c r="Q14" s="63"/>
      <c r="R14" s="63"/>
      <c r="S14" s="63"/>
      <c r="T14" s="63"/>
      <c r="U14" s="63"/>
      <c r="V14" s="63"/>
      <c r="W14" s="63"/>
      <c r="X14" s="63"/>
      <c r="Y14" s="63"/>
      <c r="Z14" s="63"/>
      <c r="AA14" s="63"/>
      <c r="AB14" s="63"/>
      <c r="AC14" s="63"/>
      <c r="AD14" s="63"/>
      <c r="AE14" s="63"/>
      <c r="AF14" s="63"/>
    </row>
    <row r="15" spans="1:32" x14ac:dyDescent="0.25">
      <c r="A15" s="63"/>
      <c r="B15" s="68"/>
      <c r="C15" s="80" t="s">
        <v>232</v>
      </c>
      <c r="D15" s="141">
        <f>SUMIFS('BS Balances'!$G:$G,'BS Balances'!$H:$H,'Trending Balance Sheet'!$C15,'BS Balances'!$F:$F,'Trending Balance Sheet'!D$12)</f>
        <v>152582.79999999999</v>
      </c>
      <c r="E15" s="142">
        <f>SUMIFS('BS Balances'!$G:$G,'BS Balances'!$H:$H,'Trending Balance Sheet'!$C15,'BS Balances'!$F:$F,'Trending Balance Sheet'!E$12)</f>
        <v>206196.36</v>
      </c>
      <c r="F15" s="142">
        <f>SUMIFS('BS Balances'!$G:$G,'BS Balances'!$H:$H,'Trending Balance Sheet'!$C15,'BS Balances'!$F:$F,'Trending Balance Sheet'!F$12)</f>
        <v>229008.54</v>
      </c>
      <c r="G15" s="142">
        <f>SUMIFS('BS Balances'!$G:$G,'BS Balances'!$H:$H,'Trending Balance Sheet'!$C15,'BS Balances'!$F:$F,'Trending Balance Sheet'!G$12)</f>
        <v>289475.78999999998</v>
      </c>
      <c r="H15" s="142">
        <f>SUMIFS('BS Balances'!$G:$G,'BS Balances'!$H:$H,'Trending Balance Sheet'!$C15,'BS Balances'!$F:$F,'Trending Balance Sheet'!H$12)</f>
        <v>272069.16000000003</v>
      </c>
      <c r="I15" s="142">
        <f>SUMIFS('BS Balances'!$G:$G,'BS Balances'!$H:$H,'Trending Balance Sheet'!$C15,'BS Balances'!$F:$F,'Trending Balance Sheet'!I$12)</f>
        <v>341997.83</v>
      </c>
      <c r="J15" s="142">
        <f>SUMIFS('BS Balances'!$G:$G,'BS Balances'!$H:$H,'Trending Balance Sheet'!$C15,'BS Balances'!$F:$F,'Trending Balance Sheet'!J$12)</f>
        <v>311921.28999999998</v>
      </c>
      <c r="K15" s="142">
        <f>SUMIFS('BS Balances'!$G:$G,'BS Balances'!$H:$H,'Trending Balance Sheet'!$C15,'BS Balances'!$F:$F,'Trending Balance Sheet'!K$12)</f>
        <v>392139.95</v>
      </c>
      <c r="L15" s="142">
        <f>SUMIFS('BS Balances'!$G:$G,'BS Balances'!$H:$H,'Trending Balance Sheet'!$C15,'BS Balances'!$F:$F,'Trending Balance Sheet'!L$12)</f>
        <v>457562.5</v>
      </c>
      <c r="M15" s="142">
        <f>SUMIFS('BS Balances'!$G:$G,'BS Balances'!$H:$H,'Trending Balance Sheet'!$C15,'BS Balances'!$F:$F,'Trending Balance Sheet'!M$12)</f>
        <v>590291.4</v>
      </c>
      <c r="N15" s="142">
        <f>SUMIFS('BS Balances'!$G:$G,'BS Balances'!$H:$H,'Trending Balance Sheet'!$C15,'BS Balances'!$F:$F,'Trending Balance Sheet'!N$12)</f>
        <v>594143.94999999995</v>
      </c>
      <c r="O15" s="143">
        <f>SUMIFS('BS Balances'!$G:$G,'BS Balances'!$H:$H,'Trending Balance Sheet'!$C15,'BS Balances'!$F:$F,'Trending Balance Sheet'!O$12)</f>
        <v>569112.67000000004</v>
      </c>
      <c r="P15" s="74"/>
      <c r="Q15" s="63"/>
      <c r="R15" s="63"/>
      <c r="S15" s="63"/>
      <c r="T15" s="63"/>
      <c r="U15" s="63"/>
      <c r="V15" s="63"/>
      <c r="W15" s="63"/>
      <c r="X15" s="63"/>
      <c r="Y15" s="63"/>
      <c r="Z15" s="63"/>
      <c r="AA15" s="63"/>
      <c r="AB15" s="63"/>
      <c r="AC15" s="63"/>
      <c r="AD15" s="63"/>
      <c r="AE15" s="63"/>
      <c r="AF15" s="63"/>
    </row>
    <row r="16" spans="1:32" x14ac:dyDescent="0.25">
      <c r="A16" s="63"/>
      <c r="B16" s="68"/>
      <c r="C16" s="80" t="s">
        <v>233</v>
      </c>
      <c r="D16" s="141">
        <f>SUMIFS('BS Balances'!$G:$G,'BS Balances'!$H:$H,'Trending Balance Sheet'!$C16,'BS Balances'!$F:$F,'Trending Balance Sheet'!D$12)</f>
        <v>110018.95</v>
      </c>
      <c r="E16" s="142">
        <f>SUMIFS('BS Balances'!$G:$G,'BS Balances'!$H:$H,'Trending Balance Sheet'!$C16,'BS Balances'!$F:$F,'Trending Balance Sheet'!E$12)</f>
        <v>107461.88</v>
      </c>
      <c r="F16" s="142">
        <f>SUMIFS('BS Balances'!$G:$G,'BS Balances'!$H:$H,'Trending Balance Sheet'!$C16,'BS Balances'!$F:$F,'Trending Balance Sheet'!F$12)</f>
        <v>126274.13</v>
      </c>
      <c r="G16" s="142">
        <f>SUMIFS('BS Balances'!$G:$G,'BS Balances'!$H:$H,'Trending Balance Sheet'!$C16,'BS Balances'!$F:$F,'Trending Balance Sheet'!G$12)</f>
        <v>98795.38</v>
      </c>
      <c r="H16" s="142">
        <f>SUMIFS('BS Balances'!$G:$G,'BS Balances'!$H:$H,'Trending Balance Sheet'!$C16,'BS Balances'!$F:$F,'Trending Balance Sheet'!H$12)</f>
        <v>210328.93</v>
      </c>
      <c r="I16" s="142">
        <f>SUMIFS('BS Balances'!$G:$G,'BS Balances'!$H:$H,'Trending Balance Sheet'!$C16,'BS Balances'!$F:$F,'Trending Balance Sheet'!I$12)</f>
        <v>109437.97</v>
      </c>
      <c r="J16" s="142">
        <f>SUMIFS('BS Balances'!$G:$G,'BS Balances'!$H:$H,'Trending Balance Sheet'!$C16,'BS Balances'!$F:$F,'Trending Balance Sheet'!J$12)</f>
        <v>190800.43</v>
      </c>
      <c r="K16" s="142">
        <f>SUMIFS('BS Balances'!$G:$G,'BS Balances'!$H:$H,'Trending Balance Sheet'!$C16,'BS Balances'!$F:$F,'Trending Balance Sheet'!K$12)</f>
        <v>41996.89</v>
      </c>
      <c r="L16" s="142">
        <f>SUMIFS('BS Balances'!$G:$G,'BS Balances'!$H:$H,'Trending Balance Sheet'!$C16,'BS Balances'!$F:$F,'Trending Balance Sheet'!L$12)</f>
        <v>47574.23</v>
      </c>
      <c r="M16" s="142">
        <f>SUMIFS('BS Balances'!$G:$G,'BS Balances'!$H:$H,'Trending Balance Sheet'!$C16,'BS Balances'!$F:$F,'Trending Balance Sheet'!M$12)</f>
        <v>197765.81</v>
      </c>
      <c r="N16" s="142">
        <f>SUMIFS('BS Balances'!$G:$G,'BS Balances'!$H:$H,'Trending Balance Sheet'!$C16,'BS Balances'!$F:$F,'Trending Balance Sheet'!N$12)</f>
        <v>196693.72</v>
      </c>
      <c r="O16" s="143">
        <f>SUMIFS('BS Balances'!$G:$G,'BS Balances'!$H:$H,'Trending Balance Sheet'!$C16,'BS Balances'!$F:$F,'Trending Balance Sheet'!O$12)</f>
        <v>258499.37</v>
      </c>
      <c r="P16" s="74"/>
      <c r="Q16" s="63"/>
      <c r="R16" s="63"/>
      <c r="S16" s="63"/>
      <c r="T16" s="63"/>
      <c r="U16" s="63"/>
      <c r="V16" s="63"/>
      <c r="W16" s="63"/>
      <c r="X16" s="63"/>
      <c r="Y16" s="63"/>
      <c r="Z16" s="63"/>
      <c r="AA16" s="63"/>
      <c r="AB16" s="63"/>
      <c r="AC16" s="63"/>
      <c r="AD16" s="63"/>
      <c r="AE16" s="63"/>
      <c r="AF16" s="63"/>
    </row>
    <row r="17" spans="1:32" x14ac:dyDescent="0.25">
      <c r="A17" s="63"/>
      <c r="B17" s="68"/>
      <c r="C17" s="80" t="s">
        <v>143</v>
      </c>
      <c r="D17" s="141">
        <f>SUMIFS('BS Balances'!$G:$G,'BS Balances'!$H:$H,'Trending Balance Sheet'!$C17,'BS Balances'!$F:$F,'Trending Balance Sheet'!D$12)</f>
        <v>24779.690000000002</v>
      </c>
      <c r="E17" s="142">
        <f>SUMIFS('BS Balances'!$G:$G,'BS Balances'!$H:$H,'Trending Balance Sheet'!$C17,'BS Balances'!$F:$F,'Trending Balance Sheet'!E$12)</f>
        <v>20096.099999999999</v>
      </c>
      <c r="F17" s="142">
        <f>SUMIFS('BS Balances'!$G:$G,'BS Balances'!$H:$H,'Trending Balance Sheet'!$C17,'BS Balances'!$F:$F,'Trending Balance Sheet'!F$12)</f>
        <v>17421.37</v>
      </c>
      <c r="G17" s="142">
        <f>SUMIFS('BS Balances'!$G:$G,'BS Balances'!$H:$H,'Trending Balance Sheet'!$C17,'BS Balances'!$F:$F,'Trending Balance Sheet'!G$12)</f>
        <v>15141.77</v>
      </c>
      <c r="H17" s="142">
        <f>SUMIFS('BS Balances'!$G:$G,'BS Balances'!$H:$H,'Trending Balance Sheet'!$C17,'BS Balances'!$F:$F,'Trending Balance Sheet'!H$12)</f>
        <v>8639.15</v>
      </c>
      <c r="I17" s="142">
        <f>SUMIFS('BS Balances'!$G:$G,'BS Balances'!$H:$H,'Trending Balance Sheet'!$C17,'BS Balances'!$F:$F,'Trending Balance Sheet'!I$12)</f>
        <v>9159.15</v>
      </c>
      <c r="J17" s="142">
        <f>SUMIFS('BS Balances'!$G:$G,'BS Balances'!$H:$H,'Trending Balance Sheet'!$C17,'BS Balances'!$F:$F,'Trending Balance Sheet'!J$12)</f>
        <v>2760</v>
      </c>
      <c r="K17" s="142">
        <f>SUMIFS('BS Balances'!$G:$G,'BS Balances'!$H:$H,'Trending Balance Sheet'!$C17,'BS Balances'!$F:$F,'Trending Balance Sheet'!K$12)</f>
        <v>871.5</v>
      </c>
      <c r="L17" s="142">
        <f>SUMIFS('BS Balances'!$G:$G,'BS Balances'!$H:$H,'Trending Balance Sheet'!$C17,'BS Balances'!$F:$F,'Trending Balance Sheet'!L$12)</f>
        <v>-660</v>
      </c>
      <c r="M17" s="142">
        <f>SUMIFS('BS Balances'!$G:$G,'BS Balances'!$H:$H,'Trending Balance Sheet'!$C17,'BS Balances'!$F:$F,'Trending Balance Sheet'!M$12)</f>
        <v>-360</v>
      </c>
      <c r="N17" s="142">
        <f>SUMIFS('BS Balances'!$G:$G,'BS Balances'!$H:$H,'Trending Balance Sheet'!$C17,'BS Balances'!$F:$F,'Trending Balance Sheet'!N$12)</f>
        <v>380</v>
      </c>
      <c r="O17" s="143">
        <f>SUMIFS('BS Balances'!$G:$G,'BS Balances'!$H:$H,'Trending Balance Sheet'!$C17,'BS Balances'!$F:$F,'Trending Balance Sheet'!O$12)</f>
        <v>-3612</v>
      </c>
      <c r="P17" s="74"/>
      <c r="Q17" s="63"/>
      <c r="R17" s="63"/>
      <c r="S17" s="63"/>
      <c r="T17" s="63"/>
      <c r="U17" s="63"/>
      <c r="V17" s="63"/>
      <c r="W17" s="63"/>
      <c r="X17" s="63"/>
      <c r="Y17" s="63"/>
      <c r="Z17" s="63"/>
      <c r="AA17" s="63"/>
      <c r="AB17" s="63"/>
      <c r="AC17" s="63"/>
      <c r="AD17" s="63"/>
      <c r="AE17" s="63"/>
      <c r="AF17" s="63"/>
    </row>
    <row r="18" spans="1:32" ht="3" customHeight="1" x14ac:dyDescent="0.25">
      <c r="A18" s="63"/>
      <c r="B18" s="68"/>
      <c r="C18" s="93"/>
      <c r="D18" s="94"/>
      <c r="E18" s="95"/>
      <c r="F18" s="95"/>
      <c r="G18" s="95"/>
      <c r="H18" s="95"/>
      <c r="I18" s="95"/>
      <c r="J18" s="95"/>
      <c r="K18" s="95"/>
      <c r="L18" s="95"/>
      <c r="M18" s="95"/>
      <c r="N18" s="95"/>
      <c r="O18" s="96"/>
      <c r="P18" s="74"/>
      <c r="Q18" s="63"/>
      <c r="R18" s="63"/>
      <c r="S18" s="63"/>
      <c r="T18" s="63"/>
      <c r="U18" s="63"/>
      <c r="V18" s="63"/>
      <c r="W18" s="63"/>
      <c r="X18" s="63"/>
      <c r="Y18" s="63"/>
      <c r="Z18" s="63"/>
      <c r="AA18" s="63"/>
      <c r="AB18" s="63"/>
      <c r="AC18" s="63"/>
      <c r="AD18" s="63"/>
      <c r="AE18" s="63"/>
      <c r="AF18" s="63"/>
    </row>
    <row r="19" spans="1:32" x14ac:dyDescent="0.25">
      <c r="A19" s="63"/>
      <c r="B19" s="68"/>
      <c r="C19" s="97" t="s">
        <v>153</v>
      </c>
      <c r="D19" s="98">
        <f t="shared" ref="D19:O19" si="1">SUM(D15:D18)</f>
        <v>287381.44</v>
      </c>
      <c r="E19" s="99">
        <f t="shared" si="1"/>
        <v>333754.33999999997</v>
      </c>
      <c r="F19" s="99">
        <f t="shared" si="1"/>
        <v>372704.04000000004</v>
      </c>
      <c r="G19" s="99">
        <f t="shared" si="1"/>
        <v>403412.94</v>
      </c>
      <c r="H19" s="99">
        <f t="shared" si="1"/>
        <v>491037.24000000005</v>
      </c>
      <c r="I19" s="99">
        <f t="shared" si="1"/>
        <v>460594.95000000007</v>
      </c>
      <c r="J19" s="99">
        <f t="shared" si="1"/>
        <v>505481.72</v>
      </c>
      <c r="K19" s="99">
        <f t="shared" si="1"/>
        <v>435008.34</v>
      </c>
      <c r="L19" s="99">
        <f t="shared" si="1"/>
        <v>504476.73</v>
      </c>
      <c r="M19" s="99">
        <f t="shared" si="1"/>
        <v>787697.21</v>
      </c>
      <c r="N19" s="99">
        <f t="shared" si="1"/>
        <v>791217.66999999993</v>
      </c>
      <c r="O19" s="100">
        <f t="shared" si="1"/>
        <v>824000.04</v>
      </c>
      <c r="P19" s="74"/>
      <c r="Q19" s="63"/>
      <c r="R19" s="63"/>
      <c r="S19" s="63"/>
      <c r="T19" s="63"/>
      <c r="U19" s="63"/>
      <c r="V19" s="63"/>
      <c r="W19" s="63"/>
      <c r="X19" s="63"/>
      <c r="Y19" s="63"/>
      <c r="Z19" s="63"/>
      <c r="AA19" s="63"/>
      <c r="AB19" s="63"/>
      <c r="AC19" s="63"/>
      <c r="AD19" s="63"/>
      <c r="AE19" s="63"/>
      <c r="AF19" s="63"/>
    </row>
    <row r="20" spans="1:32" ht="4.95" customHeight="1" x14ac:dyDescent="0.25">
      <c r="A20" s="63"/>
      <c r="B20" s="68"/>
      <c r="C20" s="93"/>
      <c r="D20" s="94"/>
      <c r="E20" s="95"/>
      <c r="F20" s="95"/>
      <c r="G20" s="95"/>
      <c r="H20" s="95"/>
      <c r="I20" s="95"/>
      <c r="J20" s="95"/>
      <c r="K20" s="95"/>
      <c r="L20" s="95"/>
      <c r="M20" s="95"/>
      <c r="N20" s="95"/>
      <c r="O20" s="96"/>
      <c r="P20" s="74"/>
      <c r="Q20" s="63"/>
      <c r="R20" s="63"/>
      <c r="S20" s="63"/>
      <c r="T20" s="63"/>
      <c r="U20" s="63"/>
      <c r="V20" s="63"/>
      <c r="W20" s="63"/>
      <c r="X20" s="63"/>
      <c r="Y20" s="63"/>
      <c r="Z20" s="63"/>
      <c r="AA20" s="63"/>
      <c r="AB20" s="63"/>
      <c r="AC20" s="63"/>
      <c r="AD20" s="63"/>
      <c r="AE20" s="63"/>
      <c r="AF20" s="63"/>
    </row>
    <row r="21" spans="1:32" x14ac:dyDescent="0.25">
      <c r="A21" s="63"/>
      <c r="B21" s="68"/>
      <c r="C21" s="80" t="s">
        <v>235</v>
      </c>
      <c r="D21" s="141">
        <f>SUMIFS('BS Balances'!$G:$G,'BS Balances'!$H:$H,'Trending Balance Sheet'!$C21,'BS Balances'!$F:$F,'Trending Balance Sheet'!D$12)</f>
        <v>100000</v>
      </c>
      <c r="E21" s="142">
        <f>SUMIFS('BS Balances'!$G:$G,'BS Balances'!$H:$H,'Trending Balance Sheet'!$C21,'BS Balances'!$F:$F,'Trending Balance Sheet'!E$12)</f>
        <v>100000</v>
      </c>
      <c r="F21" s="142">
        <f>SUMIFS('BS Balances'!$G:$G,'BS Balances'!$H:$H,'Trending Balance Sheet'!$C21,'BS Balances'!$F:$F,'Trending Balance Sheet'!F$12)</f>
        <v>100000</v>
      </c>
      <c r="G21" s="142">
        <f>SUMIFS('BS Balances'!$G:$G,'BS Balances'!$H:$H,'Trending Balance Sheet'!$C21,'BS Balances'!$F:$F,'Trending Balance Sheet'!G$12)</f>
        <v>100000</v>
      </c>
      <c r="H21" s="142">
        <f>SUMIFS('BS Balances'!$G:$G,'BS Balances'!$H:$H,'Trending Balance Sheet'!$C21,'BS Balances'!$F:$F,'Trending Balance Sheet'!H$12)</f>
        <v>100000</v>
      </c>
      <c r="I21" s="142">
        <f>SUMIFS('BS Balances'!$G:$G,'BS Balances'!$H:$H,'Trending Balance Sheet'!$C21,'BS Balances'!$F:$F,'Trending Balance Sheet'!I$12)</f>
        <v>100000</v>
      </c>
      <c r="J21" s="142">
        <f>SUMIFS('BS Balances'!$G:$G,'BS Balances'!$H:$H,'Trending Balance Sheet'!$C21,'BS Balances'!$F:$F,'Trending Balance Sheet'!J$12)</f>
        <v>100000</v>
      </c>
      <c r="K21" s="142">
        <f>SUMIFS('BS Balances'!$G:$G,'BS Balances'!$H:$H,'Trending Balance Sheet'!$C21,'BS Balances'!$F:$F,'Trending Balance Sheet'!K$12)</f>
        <v>100000</v>
      </c>
      <c r="L21" s="142">
        <f>SUMIFS('BS Balances'!$G:$G,'BS Balances'!$H:$H,'Trending Balance Sheet'!$C21,'BS Balances'!$F:$F,'Trending Balance Sheet'!L$12)</f>
        <v>100000</v>
      </c>
      <c r="M21" s="142">
        <f>SUMIFS('BS Balances'!$G:$G,'BS Balances'!$H:$H,'Trending Balance Sheet'!$C21,'BS Balances'!$F:$F,'Trending Balance Sheet'!M$12)</f>
        <v>100000</v>
      </c>
      <c r="N21" s="142">
        <f>SUMIFS('BS Balances'!$G:$G,'BS Balances'!$H:$H,'Trending Balance Sheet'!$C21,'BS Balances'!$F:$F,'Trending Balance Sheet'!N$12)</f>
        <v>100000</v>
      </c>
      <c r="O21" s="143">
        <f>SUMIFS('BS Balances'!$G:$G,'BS Balances'!$H:$H,'Trending Balance Sheet'!$C21,'BS Balances'!$F:$F,'Trending Balance Sheet'!O$12)</f>
        <v>100000</v>
      </c>
      <c r="P21" s="74"/>
      <c r="Q21" s="63"/>
      <c r="R21" s="63"/>
      <c r="S21" s="63"/>
      <c r="T21" s="63"/>
      <c r="U21" s="63"/>
      <c r="V21" s="63"/>
      <c r="W21" s="63"/>
      <c r="X21" s="63"/>
      <c r="Y21" s="63"/>
      <c r="Z21" s="63"/>
      <c r="AA21" s="63"/>
      <c r="AB21" s="63"/>
      <c r="AC21" s="63"/>
      <c r="AD21" s="63"/>
      <c r="AE21" s="63"/>
      <c r="AF21" s="63"/>
    </row>
    <row r="22" spans="1:32" ht="4.95" customHeight="1" x14ac:dyDescent="0.25">
      <c r="A22" s="63"/>
      <c r="B22" s="68"/>
      <c r="C22" s="93"/>
      <c r="D22" s="94"/>
      <c r="E22" s="95"/>
      <c r="F22" s="95"/>
      <c r="G22" s="95"/>
      <c r="H22" s="95"/>
      <c r="I22" s="95"/>
      <c r="J22" s="95"/>
      <c r="K22" s="95"/>
      <c r="L22" s="95"/>
      <c r="M22" s="95"/>
      <c r="N22" s="95"/>
      <c r="O22" s="96"/>
      <c r="P22" s="74"/>
      <c r="Q22" s="63"/>
      <c r="R22" s="63"/>
      <c r="S22" s="63"/>
      <c r="T22" s="63"/>
      <c r="U22" s="63"/>
      <c r="V22" s="63"/>
      <c r="W22" s="63"/>
      <c r="X22" s="63"/>
      <c r="Y22" s="63"/>
      <c r="Z22" s="63"/>
      <c r="AA22" s="63"/>
      <c r="AB22" s="63"/>
      <c r="AC22" s="63"/>
      <c r="AD22" s="63"/>
      <c r="AE22" s="63"/>
      <c r="AF22" s="63"/>
    </row>
    <row r="23" spans="1:32" ht="13.8" thickBot="1" x14ac:dyDescent="0.3">
      <c r="A23" s="63"/>
      <c r="B23" s="68"/>
      <c r="C23" s="114" t="s">
        <v>13</v>
      </c>
      <c r="D23" s="115">
        <f>SUM(D19:D22)</f>
        <v>387381.44</v>
      </c>
      <c r="E23" s="116">
        <f t="shared" ref="E23:O23" si="2">SUM(E19:E22)</f>
        <v>433754.33999999997</v>
      </c>
      <c r="F23" s="116">
        <f t="shared" si="2"/>
        <v>472704.04000000004</v>
      </c>
      <c r="G23" s="116">
        <f t="shared" si="2"/>
        <v>503412.94</v>
      </c>
      <c r="H23" s="116">
        <f t="shared" si="2"/>
        <v>591037.24</v>
      </c>
      <c r="I23" s="116">
        <f t="shared" si="2"/>
        <v>560594.95000000007</v>
      </c>
      <c r="J23" s="116">
        <f t="shared" si="2"/>
        <v>605481.72</v>
      </c>
      <c r="K23" s="116">
        <f t="shared" si="2"/>
        <v>535008.34000000008</v>
      </c>
      <c r="L23" s="116">
        <f t="shared" si="2"/>
        <v>604476.73</v>
      </c>
      <c r="M23" s="116">
        <f t="shared" si="2"/>
        <v>887697.21</v>
      </c>
      <c r="N23" s="116">
        <f t="shared" si="2"/>
        <v>891217.66999999993</v>
      </c>
      <c r="O23" s="117">
        <f t="shared" si="2"/>
        <v>924000.04</v>
      </c>
      <c r="P23" s="74"/>
      <c r="Q23" s="63"/>
      <c r="R23" s="63"/>
      <c r="S23" s="63"/>
      <c r="T23" s="63"/>
      <c r="U23" s="63"/>
      <c r="V23" s="63"/>
      <c r="W23" s="63"/>
      <c r="X23" s="63"/>
      <c r="Y23" s="63"/>
      <c r="Z23" s="63"/>
      <c r="AA23" s="63"/>
      <c r="AB23" s="63"/>
      <c r="AC23" s="63"/>
      <c r="AD23" s="63"/>
      <c r="AE23" s="63"/>
      <c r="AF23" s="63"/>
    </row>
    <row r="24" spans="1:32" ht="13.8" thickTop="1" x14ac:dyDescent="0.25">
      <c r="A24" s="63"/>
      <c r="B24" s="68"/>
      <c r="C24" s="88"/>
      <c r="D24" s="108"/>
      <c r="E24" s="88"/>
      <c r="F24" s="88"/>
      <c r="G24" s="88"/>
      <c r="H24" s="88"/>
      <c r="I24" s="88"/>
      <c r="J24" s="88"/>
      <c r="K24" s="88"/>
      <c r="L24" s="88"/>
      <c r="M24" s="88"/>
      <c r="N24" s="88"/>
      <c r="O24" s="109"/>
      <c r="P24" s="74"/>
      <c r="Q24" s="63"/>
      <c r="R24" s="63"/>
      <c r="S24" s="63"/>
      <c r="T24" s="63"/>
      <c r="U24" s="63"/>
      <c r="V24" s="63"/>
      <c r="W24" s="63"/>
      <c r="X24" s="63"/>
      <c r="Y24" s="63"/>
      <c r="Z24" s="63"/>
      <c r="AA24" s="63"/>
      <c r="AB24" s="63"/>
      <c r="AC24" s="63"/>
      <c r="AD24" s="63"/>
      <c r="AE24" s="63"/>
      <c r="AF24" s="63"/>
    </row>
    <row r="25" spans="1:32" x14ac:dyDescent="0.25">
      <c r="A25" s="63"/>
      <c r="B25" s="68"/>
      <c r="C25" s="89" t="s">
        <v>160</v>
      </c>
      <c r="D25" s="110"/>
      <c r="E25" s="111"/>
      <c r="F25" s="111"/>
      <c r="G25" s="111"/>
      <c r="H25" s="111"/>
      <c r="I25" s="111"/>
      <c r="J25" s="111"/>
      <c r="K25" s="111"/>
      <c r="L25" s="111"/>
      <c r="M25" s="111"/>
      <c r="N25" s="111"/>
      <c r="O25" s="92"/>
      <c r="P25" s="74"/>
      <c r="Q25" s="63"/>
      <c r="R25" s="63"/>
      <c r="S25" s="63"/>
      <c r="T25" s="63"/>
      <c r="U25" s="63"/>
      <c r="V25" s="63"/>
      <c r="W25" s="63"/>
      <c r="X25" s="63"/>
      <c r="Y25" s="63"/>
      <c r="Z25" s="63"/>
      <c r="AA25" s="63"/>
      <c r="AB25" s="63"/>
      <c r="AC25" s="63"/>
      <c r="AD25" s="63"/>
      <c r="AE25" s="63"/>
      <c r="AF25" s="63"/>
    </row>
    <row r="26" spans="1:32" x14ac:dyDescent="0.25">
      <c r="A26" s="63"/>
      <c r="B26" s="68"/>
      <c r="C26" s="80" t="s">
        <v>162</v>
      </c>
      <c r="D26" s="141">
        <f>SUMIFS('BS Balances'!$G:$G,'BS Balances'!$H:$H,'Trending Balance Sheet'!$C26,'BS Balances'!$F:$F,'Trending Balance Sheet'!D$12)</f>
        <v>19591.510000000002</v>
      </c>
      <c r="E26" s="142">
        <f>SUMIFS('BS Balances'!$G:$G,'BS Balances'!$H:$H,'Trending Balance Sheet'!$C26,'BS Balances'!$F:$F,'Trending Balance Sheet'!E$12)</f>
        <v>25544.019999999997</v>
      </c>
      <c r="F26" s="142">
        <f>SUMIFS('BS Balances'!$G:$G,'BS Balances'!$H:$H,'Trending Balance Sheet'!$C26,'BS Balances'!$F:$F,'Trending Balance Sheet'!F$12)</f>
        <v>20369.010000000002</v>
      </c>
      <c r="G26" s="142">
        <f>SUMIFS('BS Balances'!$G:$G,'BS Balances'!$H:$H,'Trending Balance Sheet'!$C26,'BS Balances'!$F:$F,'Trending Balance Sheet'!G$12)</f>
        <v>8589.7899999999991</v>
      </c>
      <c r="H26" s="142">
        <f>SUMIFS('BS Balances'!$G:$G,'BS Balances'!$H:$H,'Trending Balance Sheet'!$C26,'BS Balances'!$F:$F,'Trending Balance Sheet'!H$12)</f>
        <v>14929.970000000001</v>
      </c>
      <c r="I26" s="142">
        <f>SUMIFS('BS Balances'!$G:$G,'BS Balances'!$H:$H,'Trending Balance Sheet'!$C26,'BS Balances'!$F:$F,'Trending Balance Sheet'!I$12)</f>
        <v>16705.170000000002</v>
      </c>
      <c r="J26" s="142">
        <f>SUMIFS('BS Balances'!$G:$G,'BS Balances'!$H:$H,'Trending Balance Sheet'!$C26,'BS Balances'!$F:$F,'Trending Balance Sheet'!J$12)</f>
        <v>8113.02</v>
      </c>
      <c r="K26" s="142">
        <f>SUMIFS('BS Balances'!$G:$G,'BS Balances'!$H:$H,'Trending Balance Sheet'!$C26,'BS Balances'!$F:$F,'Trending Balance Sheet'!K$12)</f>
        <v>12112.53</v>
      </c>
      <c r="L26" s="142">
        <f>SUMIFS('BS Balances'!$G:$G,'BS Balances'!$H:$H,'Trending Balance Sheet'!$C26,'BS Balances'!$F:$F,'Trending Balance Sheet'!L$12)</f>
        <v>48557.36</v>
      </c>
      <c r="M26" s="142">
        <f>SUMIFS('BS Balances'!$G:$G,'BS Balances'!$H:$H,'Trending Balance Sheet'!$C26,'BS Balances'!$F:$F,'Trending Balance Sheet'!M$12)</f>
        <v>26033.630000000005</v>
      </c>
      <c r="N26" s="142">
        <f>SUMIFS('BS Balances'!$G:$G,'BS Balances'!$H:$H,'Trending Balance Sheet'!$C26,'BS Balances'!$F:$F,'Trending Balance Sheet'!N$12)</f>
        <v>17432.599999999999</v>
      </c>
      <c r="O26" s="143">
        <f>SUMIFS('BS Balances'!$G:$G,'BS Balances'!$H:$H,'Trending Balance Sheet'!$C26,'BS Balances'!$F:$F,'Trending Balance Sheet'!O$12)</f>
        <v>54827.929999999993</v>
      </c>
      <c r="P26" s="74"/>
      <c r="Q26" s="63"/>
      <c r="R26" s="63"/>
      <c r="S26" s="63"/>
      <c r="T26" s="63"/>
      <c r="U26" s="63"/>
      <c r="V26" s="63"/>
      <c r="W26" s="63"/>
      <c r="X26" s="63"/>
      <c r="Y26" s="63"/>
      <c r="Z26" s="63"/>
      <c r="AA26" s="63"/>
      <c r="AB26" s="63"/>
      <c r="AC26" s="63"/>
      <c r="AD26" s="63"/>
      <c r="AE26" s="63"/>
      <c r="AF26" s="63"/>
    </row>
    <row r="27" spans="1:32" x14ac:dyDescent="0.25">
      <c r="A27" s="63"/>
      <c r="B27" s="68"/>
      <c r="C27" s="80" t="s">
        <v>237</v>
      </c>
      <c r="D27" s="141">
        <f>SUMIFS('BS Balances'!$G:$G,'BS Balances'!$H:$H,'Trending Balance Sheet'!$C27,'BS Balances'!$F:$F,'Trending Balance Sheet'!D$12)</f>
        <v>-116474.02</v>
      </c>
      <c r="E27" s="142">
        <f>SUMIFS('BS Balances'!$G:$G,'BS Balances'!$H:$H,'Trending Balance Sheet'!$C27,'BS Balances'!$F:$F,'Trending Balance Sheet'!E$12)</f>
        <v>-68719.210000000006</v>
      </c>
      <c r="F27" s="142">
        <f>SUMIFS('BS Balances'!$G:$G,'BS Balances'!$H:$H,'Trending Balance Sheet'!$C27,'BS Balances'!$F:$F,'Trending Balance Sheet'!F$12)</f>
        <v>-10555.5</v>
      </c>
      <c r="G27" s="142">
        <f>SUMIFS('BS Balances'!$G:$G,'BS Balances'!$H:$H,'Trending Balance Sheet'!$C27,'BS Balances'!$F:$F,'Trending Balance Sheet'!G$12)</f>
        <v>39434.959999999999</v>
      </c>
      <c r="H27" s="142">
        <f>SUMIFS('BS Balances'!$G:$G,'BS Balances'!$H:$H,'Trending Balance Sheet'!$C27,'BS Balances'!$F:$F,'Trending Balance Sheet'!H$12)</f>
        <v>91957.39</v>
      </c>
      <c r="I27" s="142">
        <f>SUMIFS('BS Balances'!$G:$G,'BS Balances'!$H:$H,'Trending Balance Sheet'!$C27,'BS Balances'!$F:$F,'Trending Balance Sheet'!I$12)</f>
        <v>146274.07</v>
      </c>
      <c r="J27" s="142">
        <f>SUMIFS('BS Balances'!$G:$G,'BS Balances'!$H:$H,'Trending Balance Sheet'!$C27,'BS Balances'!$F:$F,'Trending Balance Sheet'!J$12)</f>
        <v>197099.25</v>
      </c>
      <c r="K27" s="142">
        <f>SUMIFS('BS Balances'!$G:$G,'BS Balances'!$H:$H,'Trending Balance Sheet'!$C27,'BS Balances'!$F:$F,'Trending Balance Sheet'!K$12)</f>
        <v>192408.77</v>
      </c>
      <c r="L27" s="142">
        <f>SUMIFS('BS Balances'!$G:$G,'BS Balances'!$H:$H,'Trending Balance Sheet'!$C27,'BS Balances'!$F:$F,'Trending Balance Sheet'!L$12)</f>
        <v>237664.56</v>
      </c>
      <c r="M27" s="142">
        <f>SUMIFS('BS Balances'!$G:$G,'BS Balances'!$H:$H,'Trending Balance Sheet'!$C27,'BS Balances'!$F:$F,'Trending Balance Sheet'!M$12)</f>
        <v>275286.95</v>
      </c>
      <c r="N27" s="142">
        <f>SUMIFS('BS Balances'!$G:$G,'BS Balances'!$H:$H,'Trending Balance Sheet'!$C27,'BS Balances'!$F:$F,'Trending Balance Sheet'!N$12)</f>
        <v>286361.25</v>
      </c>
      <c r="O27" s="143">
        <f>SUMIFS('BS Balances'!$G:$G,'BS Balances'!$H:$H,'Trending Balance Sheet'!$C27,'BS Balances'!$F:$F,'Trending Balance Sheet'!O$12)</f>
        <v>308049.3</v>
      </c>
      <c r="P27" s="74"/>
      <c r="Q27" s="63"/>
      <c r="R27" s="63"/>
      <c r="S27" s="63"/>
      <c r="T27" s="63"/>
      <c r="U27" s="63"/>
      <c r="V27" s="63"/>
      <c r="W27" s="63"/>
      <c r="X27" s="63"/>
      <c r="Y27" s="63"/>
      <c r="Z27" s="63"/>
      <c r="AA27" s="63"/>
      <c r="AB27" s="63"/>
      <c r="AC27" s="63"/>
      <c r="AD27" s="63"/>
      <c r="AE27" s="63"/>
      <c r="AF27" s="63"/>
    </row>
    <row r="28" spans="1:32" x14ac:dyDescent="0.25">
      <c r="A28" s="63"/>
      <c r="B28" s="68"/>
      <c r="C28" s="80" t="s">
        <v>167</v>
      </c>
      <c r="D28" s="141">
        <f>SUMIFS('BS Balances'!$G:$G,'BS Balances'!$H:$H,'Trending Balance Sheet'!$C28,'BS Balances'!$F:$F,'Trending Balance Sheet'!D$12)</f>
        <v>40558.82</v>
      </c>
      <c r="E28" s="142">
        <f>SUMIFS('BS Balances'!$G:$G,'BS Balances'!$H:$H,'Trending Balance Sheet'!$C28,'BS Balances'!$F:$F,'Trending Balance Sheet'!E$12)</f>
        <v>28735.629999999997</v>
      </c>
      <c r="F28" s="142">
        <f>SUMIFS('BS Balances'!$G:$G,'BS Balances'!$H:$H,'Trending Balance Sheet'!$C28,'BS Balances'!$F:$F,'Trending Balance Sheet'!F$12)</f>
        <v>31925.399999999998</v>
      </c>
      <c r="G28" s="142">
        <f>SUMIFS('BS Balances'!$G:$G,'BS Balances'!$H:$H,'Trending Balance Sheet'!$C28,'BS Balances'!$F:$F,'Trending Balance Sheet'!G$12)</f>
        <v>1000</v>
      </c>
      <c r="H28" s="142">
        <f>SUMIFS('BS Balances'!$G:$G,'BS Balances'!$H:$H,'Trending Balance Sheet'!$C28,'BS Balances'!$F:$F,'Trending Balance Sheet'!H$12)</f>
        <v>7250</v>
      </c>
      <c r="I28" s="142">
        <f>SUMIFS('BS Balances'!$G:$G,'BS Balances'!$H:$H,'Trending Balance Sheet'!$C28,'BS Balances'!$F:$F,'Trending Balance Sheet'!I$12)</f>
        <v>7875</v>
      </c>
      <c r="J28" s="142">
        <f>SUMIFS('BS Balances'!$G:$G,'BS Balances'!$H:$H,'Trending Balance Sheet'!$C28,'BS Balances'!$F:$F,'Trending Balance Sheet'!J$12)</f>
        <v>8500</v>
      </c>
      <c r="K28" s="142">
        <f>SUMIFS('BS Balances'!$G:$G,'BS Balances'!$H:$H,'Trending Balance Sheet'!$C28,'BS Balances'!$F:$F,'Trending Balance Sheet'!K$12)</f>
        <v>7750</v>
      </c>
      <c r="L28" s="142">
        <f>SUMIFS('BS Balances'!$G:$G,'BS Balances'!$H:$H,'Trending Balance Sheet'!$C28,'BS Balances'!$F:$F,'Trending Balance Sheet'!L$12)</f>
        <v>6500</v>
      </c>
      <c r="M28" s="142">
        <f>SUMIFS('BS Balances'!$G:$G,'BS Balances'!$H:$H,'Trending Balance Sheet'!$C28,'BS Balances'!$F:$F,'Trending Balance Sheet'!M$12)</f>
        <v>5500</v>
      </c>
      <c r="N28" s="142">
        <f>SUMIFS('BS Balances'!$G:$G,'BS Balances'!$H:$H,'Trending Balance Sheet'!$C28,'BS Balances'!$F:$F,'Trending Balance Sheet'!N$12)</f>
        <v>44250</v>
      </c>
      <c r="O28" s="143">
        <f>SUMIFS('BS Balances'!$G:$G,'BS Balances'!$H:$H,'Trending Balance Sheet'!$C28,'BS Balances'!$F:$F,'Trending Balance Sheet'!O$12)</f>
        <v>43250</v>
      </c>
      <c r="P28" s="74"/>
      <c r="Q28" s="63"/>
      <c r="R28" s="63"/>
      <c r="S28" s="63"/>
      <c r="T28" s="63"/>
      <c r="U28" s="63"/>
      <c r="V28" s="63"/>
      <c r="W28" s="63"/>
      <c r="X28" s="63"/>
      <c r="Y28" s="63"/>
      <c r="Z28" s="63"/>
      <c r="AA28" s="63"/>
      <c r="AB28" s="63"/>
      <c r="AC28" s="63"/>
      <c r="AD28" s="63"/>
      <c r="AE28" s="63"/>
      <c r="AF28" s="63"/>
    </row>
    <row r="29" spans="1:32" x14ac:dyDescent="0.25">
      <c r="A29" s="63"/>
      <c r="B29" s="68"/>
      <c r="C29" s="97" t="s">
        <v>176</v>
      </c>
      <c r="D29" s="98">
        <f>SUM(D26:D28)</f>
        <v>-56323.69000000001</v>
      </c>
      <c r="E29" s="99">
        <f t="shared" ref="E29:O29" si="3">SUM(E26:E28)</f>
        <v>-14439.560000000012</v>
      </c>
      <c r="F29" s="99">
        <f t="shared" si="3"/>
        <v>41738.910000000003</v>
      </c>
      <c r="G29" s="99">
        <f t="shared" si="3"/>
        <v>49024.75</v>
      </c>
      <c r="H29" s="99">
        <f t="shared" si="3"/>
        <v>114137.36</v>
      </c>
      <c r="I29" s="99">
        <f t="shared" si="3"/>
        <v>170854.24000000002</v>
      </c>
      <c r="J29" s="99">
        <f t="shared" si="3"/>
        <v>213712.27</v>
      </c>
      <c r="K29" s="99">
        <f t="shared" si="3"/>
        <v>212271.3</v>
      </c>
      <c r="L29" s="99">
        <f t="shared" si="3"/>
        <v>292721.91999999998</v>
      </c>
      <c r="M29" s="99">
        <f t="shared" si="3"/>
        <v>306820.58</v>
      </c>
      <c r="N29" s="99">
        <f t="shared" si="3"/>
        <v>348043.85</v>
      </c>
      <c r="O29" s="100">
        <f t="shared" si="3"/>
        <v>406127.23</v>
      </c>
      <c r="P29" s="74"/>
      <c r="Q29" s="63"/>
      <c r="R29" s="63"/>
      <c r="S29" s="63"/>
      <c r="T29" s="63"/>
      <c r="U29" s="63"/>
      <c r="V29" s="63"/>
      <c r="W29" s="63"/>
      <c r="X29" s="63"/>
      <c r="Y29" s="63"/>
      <c r="Z29" s="63"/>
      <c r="AA29" s="63"/>
      <c r="AB29" s="63"/>
      <c r="AC29" s="63"/>
      <c r="AD29" s="63"/>
      <c r="AE29" s="63"/>
      <c r="AF29" s="63"/>
    </row>
    <row r="30" spans="1:32" ht="4.95" customHeight="1" x14ac:dyDescent="0.25">
      <c r="A30" s="63"/>
      <c r="B30" s="68"/>
      <c r="C30" s="93"/>
      <c r="D30" s="94"/>
      <c r="E30" s="95"/>
      <c r="F30" s="95"/>
      <c r="G30" s="95"/>
      <c r="H30" s="95"/>
      <c r="I30" s="95"/>
      <c r="J30" s="95"/>
      <c r="K30" s="95"/>
      <c r="L30" s="95"/>
      <c r="M30" s="95"/>
      <c r="N30" s="95"/>
      <c r="O30" s="96"/>
      <c r="P30" s="74"/>
      <c r="Q30" s="63"/>
      <c r="R30" s="63"/>
      <c r="S30" s="63"/>
      <c r="T30" s="63"/>
      <c r="U30" s="63"/>
      <c r="V30" s="63"/>
      <c r="W30" s="63"/>
      <c r="X30" s="63"/>
      <c r="Y30" s="63"/>
      <c r="Z30" s="63"/>
      <c r="AA30" s="63"/>
      <c r="AB30" s="63"/>
      <c r="AC30" s="63"/>
      <c r="AD30" s="63"/>
      <c r="AE30" s="63"/>
      <c r="AF30" s="63"/>
    </row>
    <row r="31" spans="1:32" x14ac:dyDescent="0.25">
      <c r="A31" s="63"/>
      <c r="B31" s="68"/>
      <c r="C31" s="80" t="s">
        <v>239</v>
      </c>
      <c r="D31" s="141">
        <f>SUMIFS('BS Balances'!$G:$G,'BS Balances'!$H:$H,'Trending Balance Sheet'!$C31,'BS Balances'!$F:$F,'Trending Balance Sheet'!D$12)</f>
        <v>90000</v>
      </c>
      <c r="E31" s="142">
        <f>SUMIFS('BS Balances'!$G:$G,'BS Balances'!$H:$H,'Trending Balance Sheet'!$C31,'BS Balances'!$F:$F,'Trending Balance Sheet'!E$12)</f>
        <v>90000</v>
      </c>
      <c r="F31" s="142">
        <f>SUMIFS('BS Balances'!$G:$G,'BS Balances'!$H:$H,'Trending Balance Sheet'!$C31,'BS Balances'!$F:$F,'Trending Balance Sheet'!F$12)</f>
        <v>90000</v>
      </c>
      <c r="G31" s="142">
        <f>SUMIFS('BS Balances'!$G:$G,'BS Balances'!$H:$H,'Trending Balance Sheet'!$C31,'BS Balances'!$F:$F,'Trending Balance Sheet'!G$12)</f>
        <v>90000</v>
      </c>
      <c r="H31" s="142">
        <f>SUMIFS('BS Balances'!$G:$G,'BS Balances'!$H:$H,'Trending Balance Sheet'!$C31,'BS Balances'!$F:$F,'Trending Balance Sheet'!H$12)</f>
        <v>90000</v>
      </c>
      <c r="I31" s="142">
        <f>SUMIFS('BS Balances'!$G:$G,'BS Balances'!$H:$H,'Trending Balance Sheet'!$C31,'BS Balances'!$F:$F,'Trending Balance Sheet'!I$12)</f>
        <v>90000</v>
      </c>
      <c r="J31" s="142">
        <f>SUMIFS('BS Balances'!$G:$G,'BS Balances'!$H:$H,'Trending Balance Sheet'!$C31,'BS Balances'!$F:$F,'Trending Balance Sheet'!J$12)</f>
        <v>90000</v>
      </c>
      <c r="K31" s="142">
        <f>SUMIFS('BS Balances'!$G:$G,'BS Balances'!$H:$H,'Trending Balance Sheet'!$C31,'BS Balances'!$F:$F,'Trending Balance Sheet'!K$12)</f>
        <v>90000</v>
      </c>
      <c r="L31" s="142">
        <f>SUMIFS('BS Balances'!$G:$G,'BS Balances'!$H:$H,'Trending Balance Sheet'!$C31,'BS Balances'!$F:$F,'Trending Balance Sheet'!L$12)</f>
        <v>90000</v>
      </c>
      <c r="M31" s="142">
        <f>SUMIFS('BS Balances'!$G:$G,'BS Balances'!$H:$H,'Trending Balance Sheet'!$C31,'BS Balances'!$F:$F,'Trending Balance Sheet'!M$12)</f>
        <v>90000</v>
      </c>
      <c r="N31" s="142">
        <f>SUMIFS('BS Balances'!$G:$G,'BS Balances'!$H:$H,'Trending Balance Sheet'!$C31,'BS Balances'!$F:$F,'Trending Balance Sheet'!N$12)</f>
        <v>90000</v>
      </c>
      <c r="O31" s="143">
        <f>SUMIFS('BS Balances'!$G:$G,'BS Balances'!$H:$H,'Trending Balance Sheet'!$C31,'BS Balances'!$F:$F,'Trending Balance Sheet'!O$12)</f>
        <v>90000</v>
      </c>
      <c r="P31" s="74"/>
      <c r="Q31" s="63"/>
      <c r="R31" s="63"/>
      <c r="S31" s="63"/>
      <c r="T31" s="63"/>
      <c r="U31" s="63"/>
      <c r="V31" s="63"/>
      <c r="W31" s="63"/>
      <c r="X31" s="63"/>
      <c r="Y31" s="63"/>
      <c r="Z31" s="63"/>
      <c r="AA31" s="63"/>
      <c r="AB31" s="63"/>
      <c r="AC31" s="63"/>
      <c r="AD31" s="63"/>
      <c r="AE31" s="63"/>
      <c r="AF31" s="63"/>
    </row>
    <row r="32" spans="1:32" ht="6" customHeight="1" x14ac:dyDescent="0.25">
      <c r="A32" s="63"/>
      <c r="B32" s="68"/>
      <c r="C32" s="88"/>
      <c r="D32" s="94"/>
      <c r="E32" s="95"/>
      <c r="F32" s="95"/>
      <c r="G32" s="95"/>
      <c r="H32" s="95"/>
      <c r="I32" s="95"/>
      <c r="J32" s="95"/>
      <c r="K32" s="95"/>
      <c r="L32" s="95"/>
      <c r="M32" s="95"/>
      <c r="N32" s="95"/>
      <c r="O32" s="96"/>
      <c r="P32" s="74"/>
      <c r="Q32" s="63"/>
      <c r="R32" s="63"/>
      <c r="S32" s="63"/>
      <c r="T32" s="63"/>
      <c r="U32" s="63"/>
      <c r="V32" s="63"/>
      <c r="W32" s="63"/>
      <c r="X32" s="63"/>
      <c r="Y32" s="63"/>
      <c r="Z32" s="63"/>
      <c r="AA32" s="63"/>
      <c r="AB32" s="63"/>
      <c r="AC32" s="63"/>
      <c r="AD32" s="63"/>
      <c r="AE32" s="63"/>
      <c r="AF32" s="63"/>
    </row>
    <row r="33" spans="1:33" x14ac:dyDescent="0.25">
      <c r="A33" s="63"/>
      <c r="B33" s="68"/>
      <c r="C33" s="97" t="s">
        <v>14</v>
      </c>
      <c r="D33" s="98">
        <f>SUM(D29:D32)</f>
        <v>33676.30999999999</v>
      </c>
      <c r="E33" s="99">
        <f t="shared" ref="E33:O33" si="4">SUM(E29:E32)</f>
        <v>75560.439999999988</v>
      </c>
      <c r="F33" s="99">
        <f t="shared" si="4"/>
        <v>131738.91</v>
      </c>
      <c r="G33" s="99">
        <f t="shared" si="4"/>
        <v>139024.75</v>
      </c>
      <c r="H33" s="99">
        <f t="shared" si="4"/>
        <v>204137.36</v>
      </c>
      <c r="I33" s="99">
        <f t="shared" si="4"/>
        <v>260854.24000000002</v>
      </c>
      <c r="J33" s="99">
        <f t="shared" si="4"/>
        <v>303712.27</v>
      </c>
      <c r="K33" s="99">
        <f t="shared" si="4"/>
        <v>302271.3</v>
      </c>
      <c r="L33" s="99">
        <f t="shared" si="4"/>
        <v>382721.92</v>
      </c>
      <c r="M33" s="99">
        <f t="shared" si="4"/>
        <v>396820.58</v>
      </c>
      <c r="N33" s="99">
        <f t="shared" si="4"/>
        <v>438043.85</v>
      </c>
      <c r="O33" s="100">
        <f t="shared" si="4"/>
        <v>496127.23</v>
      </c>
      <c r="P33" s="74"/>
      <c r="Q33" s="63"/>
      <c r="R33" s="63"/>
      <c r="S33" s="63"/>
      <c r="T33" s="63"/>
      <c r="U33" s="63"/>
      <c r="V33" s="63"/>
      <c r="W33" s="63"/>
      <c r="X33" s="63"/>
      <c r="Y33" s="63"/>
      <c r="Z33" s="63"/>
      <c r="AA33" s="63"/>
      <c r="AB33" s="63"/>
      <c r="AC33" s="63"/>
      <c r="AD33" s="63"/>
      <c r="AE33" s="63"/>
      <c r="AF33" s="63"/>
    </row>
    <row r="34" spans="1:33" ht="4.95" customHeight="1" x14ac:dyDescent="0.25">
      <c r="A34" s="63"/>
      <c r="B34" s="68"/>
      <c r="C34" s="93"/>
      <c r="D34" s="94"/>
      <c r="E34" s="95"/>
      <c r="F34" s="95"/>
      <c r="G34" s="95"/>
      <c r="H34" s="95"/>
      <c r="I34" s="95"/>
      <c r="J34" s="95"/>
      <c r="K34" s="95"/>
      <c r="L34" s="95"/>
      <c r="M34" s="95"/>
      <c r="N34" s="95"/>
      <c r="O34" s="96"/>
      <c r="P34" s="74"/>
      <c r="Q34" s="63"/>
      <c r="R34" s="63"/>
      <c r="S34" s="63"/>
      <c r="T34" s="63"/>
      <c r="U34" s="63"/>
      <c r="V34" s="63"/>
      <c r="W34" s="63"/>
      <c r="X34" s="63"/>
      <c r="Y34" s="63"/>
      <c r="Z34" s="63"/>
      <c r="AA34" s="63"/>
      <c r="AB34" s="63"/>
      <c r="AC34" s="63"/>
      <c r="AD34" s="63"/>
      <c r="AE34" s="63"/>
      <c r="AF34" s="63"/>
    </row>
    <row r="35" spans="1:33" x14ac:dyDescent="0.25">
      <c r="A35" s="63"/>
      <c r="B35" s="68"/>
      <c r="C35" s="80" t="s">
        <v>240</v>
      </c>
      <c r="D35" s="141">
        <f>SUMIFS('BS Balances'!$G:$G,'BS Balances'!$H:$H,'Trending Balance Sheet'!$C35,'BS Balances'!$F:$F,'Trending Balance Sheet'!D$12)</f>
        <v>318931.63</v>
      </c>
      <c r="E35" s="142">
        <f>SUMIFS('BS Balances'!$G:$G,'BS Balances'!$H:$H,'Trending Balance Sheet'!$C35,'BS Balances'!$F:$F,'Trending Balance Sheet'!E$12)</f>
        <v>318931.63</v>
      </c>
      <c r="F35" s="142">
        <f>SUMIFS('BS Balances'!$G:$G,'BS Balances'!$H:$H,'Trending Balance Sheet'!$C35,'BS Balances'!$F:$F,'Trending Balance Sheet'!F$12)</f>
        <v>318931.63</v>
      </c>
      <c r="G35" s="142">
        <f>SUMIFS('BS Balances'!$G:$G,'BS Balances'!$H:$H,'Trending Balance Sheet'!$C35,'BS Balances'!$F:$F,'Trending Balance Sheet'!G$12)</f>
        <v>256280.27000000002</v>
      </c>
      <c r="H35" s="142">
        <f>SUMIFS('BS Balances'!$G:$G,'BS Balances'!$H:$H,'Trending Balance Sheet'!$C35,'BS Balances'!$F:$F,'Trending Balance Sheet'!H$12)</f>
        <v>254106.09000000003</v>
      </c>
      <c r="I35" s="142">
        <f>SUMIFS('BS Balances'!$G:$G,'BS Balances'!$H:$H,'Trending Balance Sheet'!$C35,'BS Balances'!$F:$F,'Trending Balance Sheet'!I$12)</f>
        <v>255546.01</v>
      </c>
      <c r="J35" s="142">
        <f>SUMIFS('BS Balances'!$G:$G,'BS Balances'!$H:$H,'Trending Balance Sheet'!$C35,'BS Balances'!$F:$F,'Trending Balance Sheet'!J$12)</f>
        <v>255573.35000000003</v>
      </c>
      <c r="K35" s="142">
        <f>SUMIFS('BS Balances'!$G:$G,'BS Balances'!$H:$H,'Trending Balance Sheet'!$C35,'BS Balances'!$F:$F,'Trending Balance Sheet'!K$12)</f>
        <v>255677.05000000002</v>
      </c>
      <c r="L35" s="142">
        <f>SUMIFS('BS Balances'!$G:$G,'BS Balances'!$H:$H,'Trending Balance Sheet'!$C35,'BS Balances'!$F:$F,'Trending Balance Sheet'!L$12)</f>
        <v>255991.88</v>
      </c>
      <c r="M35" s="142">
        <f>SUMIFS('BS Balances'!$G:$G,'BS Balances'!$H:$H,'Trending Balance Sheet'!$C35,'BS Balances'!$F:$F,'Trending Balance Sheet'!M$12)</f>
        <v>406250.92000000004</v>
      </c>
      <c r="N35" s="142">
        <f>SUMIFS('BS Balances'!$G:$G,'BS Balances'!$H:$H,'Trending Balance Sheet'!$C35,'BS Balances'!$F:$F,'Trending Balance Sheet'!N$12)</f>
        <v>405667.4</v>
      </c>
      <c r="O35" s="143">
        <f>SUMIFS('BS Balances'!$G:$G,'BS Balances'!$H:$H,'Trending Balance Sheet'!$C35,'BS Balances'!$F:$F,'Trending Balance Sheet'!O$12)</f>
        <v>405821.5</v>
      </c>
      <c r="P35" s="74"/>
      <c r="Q35" s="63"/>
      <c r="R35" s="63"/>
      <c r="S35" s="63"/>
      <c r="T35" s="63"/>
      <c r="U35" s="63"/>
      <c r="V35" s="63"/>
      <c r="W35" s="63"/>
      <c r="X35" s="63"/>
      <c r="Y35" s="63"/>
      <c r="Z35" s="63"/>
      <c r="AA35" s="63"/>
      <c r="AB35" s="63"/>
      <c r="AC35" s="63"/>
      <c r="AD35" s="63"/>
      <c r="AE35" s="63"/>
      <c r="AF35" s="63"/>
    </row>
    <row r="36" spans="1:33" x14ac:dyDescent="0.25">
      <c r="A36" s="63"/>
      <c r="B36" s="68"/>
      <c r="C36" s="80" t="s">
        <v>12</v>
      </c>
      <c r="D36" s="141">
        <f>SUMIFS('BS Balances'!$G:$G,'BS Balances'!$B:$B,'Trending Balance Sheet'!$C36,'BS Balances'!$F:$F,'Trending Balance Sheet'!D$12)</f>
        <v>34773.5</v>
      </c>
      <c r="E36" s="142">
        <f>SUMIFS('BS Balances'!$G:$G,'BS Balances'!$B:$B,'Trending Balance Sheet'!$C36,'BS Balances'!$F:$F,'Trending Balance Sheet'!E$12)</f>
        <v>39262.269999999997</v>
      </c>
      <c r="F36" s="142">
        <f>SUMIFS('BS Balances'!$G:$G,'BS Balances'!$B:$B,'Trending Balance Sheet'!$C36,'BS Balances'!$F:$F,'Trending Balance Sheet'!F$12)</f>
        <v>22033.5</v>
      </c>
      <c r="G36" s="142">
        <f>SUMIFS('BS Balances'!$G:$G,'BS Balances'!$B:$B,'Trending Balance Sheet'!$C36,'BS Balances'!$F:$F,'Trending Balance Sheet'!G$12)</f>
        <v>108107.92</v>
      </c>
      <c r="H36" s="142">
        <f>SUMIFS('BS Balances'!$G:$G,'BS Balances'!$B:$B,'Trending Balance Sheet'!$C36,'BS Balances'!$F:$F,'Trending Balance Sheet'!H$12)</f>
        <v>132793.79</v>
      </c>
      <c r="I36" s="142">
        <f>SUMIFS('BS Balances'!$G:$G,'BS Balances'!$B:$B,'Trending Balance Sheet'!$C36,'BS Balances'!$F:$F,'Trending Balance Sheet'!I$12)</f>
        <v>44194.7</v>
      </c>
      <c r="J36" s="142">
        <f>SUMIFS('BS Balances'!$G:$G,'BS Balances'!$B:$B,'Trending Balance Sheet'!$C36,'BS Balances'!$F:$F,'Trending Balance Sheet'!J$12)</f>
        <v>46196.1</v>
      </c>
      <c r="K36" s="142">
        <f>SUMIFS('BS Balances'!$G:$G,'BS Balances'!$B:$B,'Trending Balance Sheet'!$C36,'BS Balances'!$F:$F,'Trending Balance Sheet'!K$12)</f>
        <v>-22940.01</v>
      </c>
      <c r="L36" s="142">
        <f>SUMIFS('BS Balances'!$G:$G,'BS Balances'!$B:$B,'Trending Balance Sheet'!$C36,'BS Balances'!$F:$F,'Trending Balance Sheet'!L$12)</f>
        <v>-34237.07</v>
      </c>
      <c r="M36" s="142">
        <f>SUMIFS('BS Balances'!$G:$G,'BS Balances'!$B:$B,'Trending Balance Sheet'!$C36,'BS Balances'!$F:$F,'Trending Balance Sheet'!M$12)</f>
        <v>84625.71</v>
      </c>
      <c r="N36" s="142">
        <f>SUMIFS('BS Balances'!$G:$G,'BS Balances'!$B:$B,'Trending Balance Sheet'!$C36,'BS Balances'!$F:$F,'Trending Balance Sheet'!N$12)</f>
        <v>47506.42</v>
      </c>
      <c r="O36" s="143">
        <f>SUMIFS('BS Balances'!$G:$G,'BS Balances'!$B:$B,'Trending Balance Sheet'!$C36,'BS Balances'!$F:$F,'Trending Balance Sheet'!O$12)</f>
        <v>22051.31</v>
      </c>
      <c r="P36" s="74"/>
      <c r="Q36" s="63"/>
      <c r="R36" s="63"/>
      <c r="S36" s="63"/>
      <c r="T36" s="63"/>
      <c r="U36" s="63"/>
      <c r="V36" s="63"/>
      <c r="W36" s="63"/>
      <c r="X36" s="63"/>
      <c r="Y36" s="63"/>
      <c r="Z36" s="63"/>
      <c r="AA36" s="63"/>
      <c r="AB36" s="63"/>
      <c r="AC36" s="63"/>
      <c r="AD36" s="63"/>
      <c r="AE36" s="63"/>
      <c r="AF36" s="63"/>
    </row>
    <row r="37" spans="1:33" ht="6" customHeight="1" x14ac:dyDescent="0.25">
      <c r="A37" s="63"/>
      <c r="B37" s="68"/>
      <c r="C37" s="88"/>
      <c r="D37" s="94"/>
      <c r="E37" s="113"/>
      <c r="F37" s="113"/>
      <c r="G37" s="113"/>
      <c r="H37" s="113"/>
      <c r="I37" s="113"/>
      <c r="J37" s="113"/>
      <c r="K37" s="113"/>
      <c r="L37" s="113"/>
      <c r="M37" s="113"/>
      <c r="N37" s="113"/>
      <c r="O37" s="96"/>
      <c r="P37" s="74"/>
      <c r="Q37" s="63"/>
      <c r="R37" s="63"/>
      <c r="S37" s="63"/>
      <c r="T37" s="63"/>
      <c r="U37" s="63"/>
      <c r="V37" s="63"/>
      <c r="W37" s="63"/>
      <c r="X37" s="63"/>
      <c r="Y37" s="63"/>
      <c r="Z37" s="63"/>
      <c r="AA37" s="63"/>
      <c r="AB37" s="63"/>
      <c r="AC37" s="63"/>
      <c r="AD37" s="63"/>
      <c r="AE37" s="63"/>
      <c r="AF37" s="63"/>
    </row>
    <row r="38" spans="1:33" ht="13.8" thickBot="1" x14ac:dyDescent="0.3">
      <c r="A38" s="63"/>
      <c r="B38" s="68"/>
      <c r="C38" s="114" t="s">
        <v>241</v>
      </c>
      <c r="D38" s="115">
        <f>SUM(D33:D37)</f>
        <v>387381.44</v>
      </c>
      <c r="E38" s="116">
        <f t="shared" ref="E38:O38" si="5">SUM(E33:E37)</f>
        <v>433754.34</v>
      </c>
      <c r="F38" s="116">
        <f t="shared" si="5"/>
        <v>472704.04000000004</v>
      </c>
      <c r="G38" s="116">
        <f t="shared" si="5"/>
        <v>503412.94</v>
      </c>
      <c r="H38" s="116">
        <f t="shared" si="5"/>
        <v>591037.24</v>
      </c>
      <c r="I38" s="116">
        <f t="shared" si="5"/>
        <v>560594.94999999995</v>
      </c>
      <c r="J38" s="116">
        <f t="shared" si="5"/>
        <v>605481.72000000009</v>
      </c>
      <c r="K38" s="116">
        <f t="shared" si="5"/>
        <v>535008.34</v>
      </c>
      <c r="L38" s="116">
        <f t="shared" si="5"/>
        <v>604476.7300000001</v>
      </c>
      <c r="M38" s="116">
        <f t="shared" si="5"/>
        <v>887697.21</v>
      </c>
      <c r="N38" s="116">
        <f t="shared" si="5"/>
        <v>891217.67</v>
      </c>
      <c r="O38" s="117">
        <f t="shared" si="5"/>
        <v>924000.04</v>
      </c>
      <c r="P38" s="74"/>
      <c r="Q38" s="63"/>
      <c r="R38" s="63"/>
      <c r="S38" s="63"/>
      <c r="T38" s="63"/>
      <c r="U38" s="63"/>
      <c r="V38" s="63"/>
      <c r="W38" s="63"/>
      <c r="X38" s="63"/>
      <c r="Y38" s="63"/>
      <c r="Z38" s="63"/>
      <c r="AA38" s="63"/>
      <c r="AB38" s="63"/>
      <c r="AC38" s="63"/>
      <c r="AD38" s="63"/>
      <c r="AE38" s="63"/>
      <c r="AF38" s="63"/>
    </row>
    <row r="39" spans="1:33" ht="13.8" thickTop="1" x14ac:dyDescent="0.25">
      <c r="A39" s="63"/>
      <c r="B39" s="68"/>
      <c r="C39" s="104" t="s">
        <v>368</v>
      </c>
      <c r="D39" s="118">
        <f>_xlfn.XLOOKUP(D12,'Balance Sheet'!$4:$4,'Balance Sheet'!$72:$72)-D38</f>
        <v>0</v>
      </c>
      <c r="E39" s="118">
        <f>_xlfn.XLOOKUP(E12,'Balance Sheet'!$4:$4,'Balance Sheet'!$72:$72)-E38</f>
        <v>0</v>
      </c>
      <c r="F39" s="118">
        <f>_xlfn.XLOOKUP(F12,'Balance Sheet'!$4:$4,'Balance Sheet'!$72:$72)-F38</f>
        <v>0</v>
      </c>
      <c r="G39" s="118">
        <f>_xlfn.XLOOKUP(G12,'Balance Sheet'!$4:$4,'Balance Sheet'!$72:$72)-G38</f>
        <v>0</v>
      </c>
      <c r="H39" s="118">
        <f>_xlfn.XLOOKUP(H12,'Balance Sheet'!$4:$4,'Balance Sheet'!$72:$72)-H38</f>
        <v>0</v>
      </c>
      <c r="I39" s="118">
        <f>_xlfn.XLOOKUP(I12,'Balance Sheet'!$4:$4,'Balance Sheet'!$72:$72)-I38</f>
        <v>0</v>
      </c>
      <c r="J39" s="118">
        <f>_xlfn.XLOOKUP(J12,'Balance Sheet'!$4:$4,'Balance Sheet'!$72:$72)-J38</f>
        <v>0</v>
      </c>
      <c r="K39" s="118">
        <f>_xlfn.XLOOKUP(K12,'Balance Sheet'!$4:$4,'Balance Sheet'!$72:$72)-K38</f>
        <v>0</v>
      </c>
      <c r="L39" s="118">
        <f>_xlfn.XLOOKUP(L12,'Balance Sheet'!$4:$4,'Balance Sheet'!$72:$72)-L38</f>
        <v>0</v>
      </c>
      <c r="M39" s="118">
        <f>_xlfn.XLOOKUP(M12,'Balance Sheet'!$4:$4,'Balance Sheet'!$72:$72)-M38</f>
        <v>0</v>
      </c>
      <c r="N39" s="118">
        <f>_xlfn.XLOOKUP(N12,'Balance Sheet'!$4:$4,'Balance Sheet'!$72:$72)-N38</f>
        <v>0</v>
      </c>
      <c r="O39" s="118">
        <f>_xlfn.XLOOKUP(O12,'Balance Sheet'!$4:$4,'Balance Sheet'!$72:$72)-O38</f>
        <v>0</v>
      </c>
      <c r="P39" s="74"/>
      <c r="Q39" s="63"/>
      <c r="R39" s="63"/>
      <c r="S39" s="63"/>
      <c r="T39" s="63"/>
      <c r="U39" s="63"/>
      <c r="V39" s="63"/>
      <c r="W39" s="63"/>
      <c r="X39" s="63"/>
      <c r="Y39" s="63"/>
      <c r="Z39" s="63"/>
      <c r="AA39" s="63"/>
      <c r="AB39" s="63"/>
      <c r="AC39" s="63"/>
      <c r="AD39" s="63"/>
      <c r="AE39" s="63"/>
      <c r="AF39" s="63"/>
    </row>
    <row r="40" spans="1:33" x14ac:dyDescent="0.25">
      <c r="A40" s="63"/>
      <c r="B40" s="81"/>
      <c r="C40" s="119"/>
      <c r="D40" s="119"/>
      <c r="E40" s="119"/>
      <c r="F40" s="119"/>
      <c r="G40" s="119"/>
      <c r="H40" s="119"/>
      <c r="I40" s="119"/>
      <c r="J40" s="119"/>
      <c r="K40" s="119"/>
      <c r="L40" s="119"/>
      <c r="M40" s="119"/>
      <c r="N40" s="119"/>
      <c r="O40" s="119"/>
      <c r="P40" s="82"/>
      <c r="Q40" s="63"/>
      <c r="R40" s="63"/>
      <c r="S40" s="63"/>
      <c r="T40" s="63"/>
      <c r="U40" s="63"/>
      <c r="V40" s="63"/>
      <c r="W40" s="63"/>
      <c r="X40" s="63"/>
      <c r="Y40" s="63"/>
      <c r="Z40" s="63"/>
      <c r="AA40" s="63"/>
      <c r="AB40" s="63"/>
      <c r="AC40" s="63"/>
      <c r="AD40" s="63"/>
      <c r="AE40" s="63"/>
      <c r="AF40" s="63"/>
    </row>
    <row r="41" spans="1:33" x14ac:dyDescent="0.25">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row>
    <row r="42" spans="1:33" x14ac:dyDescent="0.25">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row>
    <row r="43" spans="1:33" x14ac:dyDescent="0.25">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row>
    <row r="44" spans="1:33" x14ac:dyDescent="0.25">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row>
    <row r="45" spans="1:33" x14ac:dyDescent="0.2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row>
    <row r="46" spans="1:33" x14ac:dyDescent="0.25">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row>
    <row r="47" spans="1:33" x14ac:dyDescent="0.25">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row>
    <row r="48" spans="1:33" x14ac:dyDescent="0.25">
      <c r="A48" s="63"/>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row>
    <row r="49" spans="1:33" x14ac:dyDescent="0.25">
      <c r="A49" s="63"/>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row>
    <row r="50" spans="1:33" x14ac:dyDescent="0.25">
      <c r="A50" s="63"/>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row>
    <row r="51" spans="1:33" x14ac:dyDescent="0.25">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row>
    <row r="52" spans="1:33" x14ac:dyDescent="0.25">
      <c r="A52" s="63"/>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row>
    <row r="53" spans="1:33" x14ac:dyDescent="0.25">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row>
    <row r="54" spans="1:33" x14ac:dyDescent="0.25">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row>
    <row r="55" spans="1:33" x14ac:dyDescent="0.25">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row>
    <row r="56" spans="1:33" x14ac:dyDescent="0.25">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row>
    <row r="57" spans="1:33" x14ac:dyDescent="0.25">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row>
    <row r="58" spans="1:33" x14ac:dyDescent="0.25">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row>
    <row r="59" spans="1:33" x14ac:dyDescent="0.25">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row>
    <row r="60" spans="1:33" x14ac:dyDescent="0.25">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row>
    <row r="61" spans="1:33" x14ac:dyDescent="0.25">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row>
    <row r="62" spans="1:33" x14ac:dyDescent="0.25">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row>
    <row r="63" spans="1:33" x14ac:dyDescent="0.25">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row>
    <row r="64" spans="1:33" x14ac:dyDescent="0.2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row>
    <row r="65" spans="1:33" x14ac:dyDescent="0.25">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row>
    <row r="66" spans="1:33" x14ac:dyDescent="0.25">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row>
    <row r="67" spans="1:33" x14ac:dyDescent="0.25">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row>
    <row r="68" spans="1:33" x14ac:dyDescent="0.25">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row>
    <row r="69" spans="1:33" x14ac:dyDescent="0.25">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row>
    <row r="70" spans="1:33" x14ac:dyDescent="0.25">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row>
    <row r="71" spans="1:33" x14ac:dyDescent="0.25">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row>
    <row r="72" spans="1:33" x14ac:dyDescent="0.25">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7393C"/>
  </sheetPr>
  <dimension ref="A1"/>
  <sheetViews>
    <sheetView showGridLines="0" workbookViewId="0"/>
  </sheetViews>
  <sheetFormatPr defaultRowHeight="14.4" x14ac:dyDescent="0.3"/>
  <sheetData/>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12"/>
  <sheetViews>
    <sheetView showGridLines="0" workbookViewId="0">
      <pane ySplit="5" topLeftCell="A6" activePane="bottomLeft" state="frozen"/>
      <selection pane="bottomLeft"/>
    </sheetView>
  </sheetViews>
  <sheetFormatPr defaultRowHeight="14.4" x14ac:dyDescent="0.3"/>
  <cols>
    <col min="1" max="1" width="0.6640625" customWidth="1"/>
    <col min="2" max="2" width="50" customWidth="1"/>
    <col min="3" max="18" width="14" customWidth="1"/>
  </cols>
  <sheetData>
    <row r="1" spans="1:18" x14ac:dyDescent="0.3">
      <c r="A1" s="1" t="s">
        <v>386</v>
      </c>
      <c r="B1" s="2"/>
      <c r="C1" s="2"/>
      <c r="D1" s="2"/>
      <c r="E1" s="2"/>
      <c r="F1" s="2"/>
      <c r="G1" s="2"/>
      <c r="H1" s="2"/>
      <c r="I1" s="2"/>
      <c r="J1" s="2"/>
      <c r="K1" s="2"/>
      <c r="L1" s="2"/>
      <c r="M1" s="2"/>
      <c r="N1" s="2"/>
      <c r="O1" s="2"/>
      <c r="P1" s="2"/>
      <c r="Q1" s="2"/>
      <c r="R1" s="2"/>
    </row>
    <row r="2" spans="1:18" x14ac:dyDescent="0.3">
      <c r="A2" s="3" t="s">
        <v>31</v>
      </c>
      <c r="B2" s="2"/>
      <c r="C2" s="2"/>
      <c r="D2" s="2"/>
      <c r="E2" s="2"/>
      <c r="F2" s="2"/>
      <c r="G2" s="2"/>
      <c r="H2" s="2"/>
      <c r="I2" s="2"/>
      <c r="J2" s="2"/>
      <c r="K2" s="2"/>
      <c r="L2" s="2"/>
      <c r="M2" s="2"/>
      <c r="N2" s="2"/>
      <c r="O2" s="2"/>
      <c r="P2" s="2"/>
      <c r="Q2" s="2"/>
      <c r="R2" s="2"/>
    </row>
    <row r="3" spans="1:18" x14ac:dyDescent="0.3">
      <c r="A3" s="2"/>
      <c r="B3" s="2"/>
      <c r="C3" s="2"/>
      <c r="D3" s="2"/>
      <c r="E3" s="2"/>
      <c r="F3" s="2"/>
      <c r="G3" s="2"/>
      <c r="H3" s="2"/>
      <c r="I3" s="2"/>
      <c r="J3" s="2"/>
      <c r="K3" s="2"/>
      <c r="L3" s="2"/>
      <c r="M3" s="2"/>
      <c r="N3" s="2"/>
      <c r="O3" s="2"/>
      <c r="P3" s="2"/>
      <c r="Q3" s="2"/>
      <c r="R3" s="2"/>
    </row>
    <row r="4" spans="1:18" x14ac:dyDescent="0.3">
      <c r="A4" s="2"/>
      <c r="B4" s="2"/>
      <c r="C4" s="139">
        <v>45688</v>
      </c>
      <c r="D4" s="139">
        <f t="shared" ref="D4:Q4" si="0">EOMONTH(C4,1)</f>
        <v>45716</v>
      </c>
      <c r="E4" s="139">
        <f t="shared" si="0"/>
        <v>45747</v>
      </c>
      <c r="F4" s="139">
        <f t="shared" si="0"/>
        <v>45777</v>
      </c>
      <c r="G4" s="139">
        <f t="shared" si="0"/>
        <v>45808</v>
      </c>
      <c r="H4" s="139">
        <f t="shared" si="0"/>
        <v>45838</v>
      </c>
      <c r="I4" s="139">
        <f t="shared" si="0"/>
        <v>45869</v>
      </c>
      <c r="J4" s="139">
        <f t="shared" si="0"/>
        <v>45900</v>
      </c>
      <c r="K4" s="139">
        <f t="shared" si="0"/>
        <v>45930</v>
      </c>
      <c r="L4" s="139">
        <f t="shared" si="0"/>
        <v>45961</v>
      </c>
      <c r="M4" s="139">
        <f t="shared" si="0"/>
        <v>45991</v>
      </c>
      <c r="N4" s="139">
        <f t="shared" si="0"/>
        <v>46022</v>
      </c>
      <c r="O4" s="139">
        <f t="shared" si="0"/>
        <v>46053</v>
      </c>
      <c r="P4" s="139">
        <f t="shared" si="0"/>
        <v>46081</v>
      </c>
      <c r="Q4" s="139">
        <f t="shared" si="0"/>
        <v>46112</v>
      </c>
      <c r="R4" s="2"/>
    </row>
    <row r="5" spans="1:18" x14ac:dyDescent="0.3">
      <c r="A5" s="2"/>
      <c r="B5" s="9" t="s">
        <v>32</v>
      </c>
      <c r="C5" s="208">
        <v>45658</v>
      </c>
      <c r="D5" s="208">
        <v>45689</v>
      </c>
      <c r="E5" s="208">
        <v>45717</v>
      </c>
      <c r="F5" s="208">
        <v>45748</v>
      </c>
      <c r="G5" s="208">
        <v>45778</v>
      </c>
      <c r="H5" s="208">
        <v>45809</v>
      </c>
      <c r="I5" s="208">
        <v>45839</v>
      </c>
      <c r="J5" s="208">
        <v>45870</v>
      </c>
      <c r="K5" s="208">
        <v>45901</v>
      </c>
      <c r="L5" s="208">
        <v>45931</v>
      </c>
      <c r="M5" s="208">
        <v>45962</v>
      </c>
      <c r="N5" s="208">
        <v>45992</v>
      </c>
      <c r="O5" s="208">
        <v>46023</v>
      </c>
      <c r="P5" s="208">
        <v>46054</v>
      </c>
      <c r="Q5" s="208">
        <v>46082</v>
      </c>
      <c r="R5" s="10" t="s">
        <v>33</v>
      </c>
    </row>
    <row r="6" spans="1:18" x14ac:dyDescent="0.3">
      <c r="A6" s="2"/>
      <c r="B6" s="17" t="s">
        <v>34</v>
      </c>
      <c r="C6" s="18"/>
      <c r="D6" s="18"/>
      <c r="E6" s="18"/>
      <c r="F6" s="18"/>
      <c r="G6" s="18"/>
      <c r="H6" s="18"/>
      <c r="I6" s="18"/>
      <c r="J6" s="18"/>
      <c r="K6" s="18"/>
      <c r="L6" s="18"/>
      <c r="M6" s="18"/>
      <c r="N6" s="18"/>
      <c r="O6" s="18"/>
      <c r="P6" s="18"/>
      <c r="Q6" s="18"/>
      <c r="R6" s="18"/>
    </row>
    <row r="7" spans="1:18" x14ac:dyDescent="0.3">
      <c r="A7" s="2"/>
      <c r="B7" s="11" t="s">
        <v>551</v>
      </c>
      <c r="C7" s="7">
        <v>43672.06</v>
      </c>
      <c r="D7" s="7">
        <v>79597.850000000006</v>
      </c>
      <c r="E7" s="7">
        <v>122069.46</v>
      </c>
      <c r="F7" s="7">
        <v>145409.42000000001</v>
      </c>
      <c r="G7" s="7">
        <v>122217.81</v>
      </c>
      <c r="H7" s="7">
        <v>95266.5</v>
      </c>
      <c r="I7" s="7">
        <v>60342.11</v>
      </c>
      <c r="J7" s="7">
        <v>110728.92</v>
      </c>
      <c r="K7" s="7">
        <v>114659.44</v>
      </c>
      <c r="L7" s="7">
        <v>127818.39</v>
      </c>
      <c r="M7" s="7">
        <v>184380.29</v>
      </c>
      <c r="N7" s="7">
        <v>121685.44</v>
      </c>
      <c r="O7" s="7">
        <v>125841.72</v>
      </c>
      <c r="P7" s="7">
        <v>112214.22</v>
      </c>
      <c r="Q7" s="7">
        <v>81007.69</v>
      </c>
      <c r="R7" s="7">
        <v>1646911.32</v>
      </c>
    </row>
    <row r="8" spans="1:18" x14ac:dyDescent="0.3">
      <c r="A8" s="2"/>
      <c r="B8" s="11" t="s">
        <v>560</v>
      </c>
      <c r="C8" s="7">
        <v>23065.200000000001</v>
      </c>
      <c r="D8" s="7">
        <v>74709.81</v>
      </c>
      <c r="E8" s="7">
        <v>56914.94</v>
      </c>
      <c r="F8" s="7">
        <v>9447.98</v>
      </c>
      <c r="G8" s="7">
        <v>48095.839999999997</v>
      </c>
      <c r="H8" s="7">
        <v>86973.96</v>
      </c>
      <c r="I8" s="7">
        <v>20071.97</v>
      </c>
      <c r="J8" s="7">
        <v>26621.68</v>
      </c>
      <c r="K8" s="7">
        <v>71743.63</v>
      </c>
      <c r="L8" s="7">
        <v>33764.379999999997</v>
      </c>
      <c r="M8" s="7">
        <v>46341.25</v>
      </c>
      <c r="N8" s="7">
        <v>13296.8</v>
      </c>
      <c r="O8" s="7">
        <v>29014.25</v>
      </c>
      <c r="P8" s="7">
        <v>15718.04</v>
      </c>
      <c r="Q8" s="7">
        <v>40566.449999999997</v>
      </c>
      <c r="R8" s="7">
        <v>596346.18000000005</v>
      </c>
    </row>
    <row r="9" spans="1:18" x14ac:dyDescent="0.3">
      <c r="A9" s="2"/>
      <c r="B9" s="11" t="s">
        <v>561</v>
      </c>
      <c r="C9" s="7">
        <v>13269.74</v>
      </c>
      <c r="D9" s="7">
        <v>28142.15</v>
      </c>
      <c r="E9" s="7">
        <v>20151.900000000001</v>
      </c>
      <c r="F9" s="7">
        <v>18391.5</v>
      </c>
      <c r="G9" s="7">
        <v>13429.98</v>
      </c>
      <c r="H9" s="7">
        <v>4648.5</v>
      </c>
      <c r="I9" s="7">
        <v>13702.14</v>
      </c>
      <c r="J9" s="7">
        <v>29230.2</v>
      </c>
      <c r="K9" s="7">
        <v>9185.1299999999992</v>
      </c>
      <c r="L9" s="7">
        <v>4419</v>
      </c>
      <c r="M9" s="7">
        <v>14104.8</v>
      </c>
      <c r="N9" s="7">
        <v>3187.71</v>
      </c>
      <c r="O9" s="7">
        <v>24412.86</v>
      </c>
      <c r="P9" s="7">
        <v>21199.19</v>
      </c>
      <c r="Q9" s="7">
        <v>9909</v>
      </c>
      <c r="R9" s="7">
        <v>227383.8</v>
      </c>
    </row>
    <row r="10" spans="1:18" x14ac:dyDescent="0.3">
      <c r="A10" s="2"/>
      <c r="B10" s="11" t="s">
        <v>35</v>
      </c>
      <c r="C10" s="7">
        <v>687.5</v>
      </c>
      <c r="D10" s="7">
        <v>1530</v>
      </c>
      <c r="E10" s="7">
        <v>0</v>
      </c>
      <c r="F10" s="7">
        <v>3812.5</v>
      </c>
      <c r="G10" s="7">
        <v>0</v>
      </c>
      <c r="H10" s="7">
        <v>0</v>
      </c>
      <c r="I10" s="7">
        <v>0</v>
      </c>
      <c r="J10" s="7">
        <v>0</v>
      </c>
      <c r="K10" s="7">
        <v>0</v>
      </c>
      <c r="L10" s="7">
        <v>0</v>
      </c>
      <c r="M10" s="7">
        <v>0</v>
      </c>
      <c r="N10" s="7">
        <v>0</v>
      </c>
      <c r="O10" s="7">
        <v>0</v>
      </c>
      <c r="P10" s="7">
        <v>0</v>
      </c>
      <c r="Q10" s="7">
        <v>0</v>
      </c>
      <c r="R10" s="7">
        <v>6030</v>
      </c>
    </row>
    <row r="11" spans="1:18" x14ac:dyDescent="0.3">
      <c r="A11" s="2"/>
      <c r="B11" s="13" t="s">
        <v>36</v>
      </c>
      <c r="C11" s="14">
        <v>80694.5</v>
      </c>
      <c r="D11" s="14">
        <v>183979.81</v>
      </c>
      <c r="E11" s="14">
        <v>199136.3</v>
      </c>
      <c r="F11" s="14">
        <v>177061.4</v>
      </c>
      <c r="G11" s="14">
        <v>183743.63</v>
      </c>
      <c r="H11" s="14">
        <v>186888.95999999999</v>
      </c>
      <c r="I11" s="14">
        <v>94116.22</v>
      </c>
      <c r="J11" s="14">
        <v>166580.79999999999</v>
      </c>
      <c r="K11" s="14">
        <v>195588.2</v>
      </c>
      <c r="L11" s="14">
        <v>166001.76999999999</v>
      </c>
      <c r="M11" s="14">
        <v>244826.34</v>
      </c>
      <c r="N11" s="14">
        <v>138169.95000000001</v>
      </c>
      <c r="O11" s="14">
        <v>179268.83</v>
      </c>
      <c r="P11" s="14">
        <v>149131.45000000001</v>
      </c>
      <c r="Q11" s="14">
        <v>131483.14000000001</v>
      </c>
      <c r="R11" s="14">
        <v>2476671.2999999998</v>
      </c>
    </row>
    <row r="12" spans="1:18" x14ac:dyDescent="0.3">
      <c r="A12" s="2"/>
      <c r="B12" s="17" t="s">
        <v>37</v>
      </c>
      <c r="C12" s="18"/>
      <c r="D12" s="18"/>
      <c r="E12" s="18"/>
      <c r="F12" s="18"/>
      <c r="G12" s="18"/>
      <c r="H12" s="18"/>
      <c r="I12" s="18"/>
      <c r="J12" s="18"/>
      <c r="K12" s="18"/>
      <c r="L12" s="18"/>
      <c r="M12" s="18"/>
      <c r="N12" s="18"/>
      <c r="O12" s="18"/>
      <c r="P12" s="18"/>
      <c r="Q12" s="18"/>
      <c r="R12" s="18"/>
    </row>
    <row r="13" spans="1:18" x14ac:dyDescent="0.3">
      <c r="A13" s="2"/>
      <c r="B13" s="11" t="s">
        <v>552</v>
      </c>
      <c r="C13" s="7">
        <v>8496.5400000000009</v>
      </c>
      <c r="D13" s="7">
        <v>25148.82</v>
      </c>
      <c r="E13" s="7">
        <v>10105.07</v>
      </c>
      <c r="F13" s="7">
        <v>64101.03</v>
      </c>
      <c r="G13" s="7">
        <v>20435.61</v>
      </c>
      <c r="H13" s="7">
        <v>19647.2</v>
      </c>
      <c r="I13" s="7">
        <v>81123.81</v>
      </c>
      <c r="J13" s="7">
        <v>5193</v>
      </c>
      <c r="K13" s="7">
        <v>8578</v>
      </c>
      <c r="L13" s="7">
        <v>46816.35</v>
      </c>
      <c r="M13" s="7">
        <v>14369</v>
      </c>
      <c r="N13" s="7">
        <v>9231.7999999999993</v>
      </c>
      <c r="O13" s="7">
        <v>20893.7</v>
      </c>
      <c r="P13" s="7">
        <v>4834.49</v>
      </c>
      <c r="Q13" s="7">
        <v>7912.4</v>
      </c>
      <c r="R13" s="7">
        <v>346886.82</v>
      </c>
    </row>
    <row r="14" spans="1:18" x14ac:dyDescent="0.3">
      <c r="A14" s="2"/>
      <c r="B14" s="11" t="s">
        <v>38</v>
      </c>
      <c r="C14" s="7">
        <v>0</v>
      </c>
      <c r="D14" s="7">
        <v>0</v>
      </c>
      <c r="E14" s="7">
        <v>0</v>
      </c>
      <c r="F14" s="7">
        <v>0</v>
      </c>
      <c r="G14" s="7">
        <v>0</v>
      </c>
      <c r="H14" s="7">
        <v>0</v>
      </c>
      <c r="I14" s="7">
        <v>0</v>
      </c>
      <c r="J14" s="7">
        <v>0</v>
      </c>
      <c r="K14" s="7">
        <v>0</v>
      </c>
      <c r="L14" s="7">
        <v>0</v>
      </c>
      <c r="M14" s="7">
        <v>0</v>
      </c>
      <c r="N14" s="7">
        <v>0</v>
      </c>
      <c r="O14" s="7">
        <v>0</v>
      </c>
      <c r="P14" s="7">
        <v>0</v>
      </c>
      <c r="Q14" s="7">
        <v>0</v>
      </c>
      <c r="R14" s="7">
        <v>0</v>
      </c>
    </row>
    <row r="15" spans="1:18" x14ac:dyDescent="0.3">
      <c r="A15" s="2"/>
      <c r="B15" s="19" t="s">
        <v>39</v>
      </c>
      <c r="C15" s="7">
        <v>71407.22</v>
      </c>
      <c r="D15" s="7">
        <v>49697.440000000002</v>
      </c>
      <c r="E15" s="7">
        <v>49587.15</v>
      </c>
      <c r="F15" s="7">
        <v>48251.199999999997</v>
      </c>
      <c r="G15" s="7">
        <v>49281.68</v>
      </c>
      <c r="H15" s="7">
        <v>51444.92</v>
      </c>
      <c r="I15" s="7">
        <v>47029.279999999999</v>
      </c>
      <c r="J15" s="7">
        <v>72699.02</v>
      </c>
      <c r="K15" s="7">
        <v>43282.74</v>
      </c>
      <c r="L15" s="7">
        <v>43571.35</v>
      </c>
      <c r="M15" s="7">
        <v>44486.83</v>
      </c>
      <c r="N15" s="7">
        <v>48898.43</v>
      </c>
      <c r="O15" s="7">
        <v>31528.87</v>
      </c>
      <c r="P15" s="7">
        <v>28530.58</v>
      </c>
      <c r="Q15" s="7">
        <v>34015.24</v>
      </c>
      <c r="R15" s="7">
        <v>713711.95</v>
      </c>
    </row>
    <row r="16" spans="1:18" x14ac:dyDescent="0.3">
      <c r="A16" s="2"/>
      <c r="B16" s="19" t="s">
        <v>40</v>
      </c>
      <c r="C16" s="7">
        <v>0</v>
      </c>
      <c r="D16" s="7">
        <v>0</v>
      </c>
      <c r="E16" s="7">
        <v>0</v>
      </c>
      <c r="F16" s="7">
        <v>0</v>
      </c>
      <c r="G16" s="7">
        <v>0</v>
      </c>
      <c r="H16" s="7">
        <v>0</v>
      </c>
      <c r="I16" s="7">
        <v>0</v>
      </c>
      <c r="J16" s="7">
        <v>0</v>
      </c>
      <c r="K16" s="7">
        <v>0</v>
      </c>
      <c r="L16" s="7">
        <v>0</v>
      </c>
      <c r="M16" s="7">
        <v>0</v>
      </c>
      <c r="N16" s="7">
        <v>0</v>
      </c>
      <c r="O16" s="7">
        <v>0</v>
      </c>
      <c r="P16" s="7">
        <v>11737.48</v>
      </c>
      <c r="Q16" s="7">
        <v>0</v>
      </c>
      <c r="R16" s="7">
        <v>11737.48</v>
      </c>
    </row>
    <row r="17" spans="1:18" x14ac:dyDescent="0.3">
      <c r="A17" s="2"/>
      <c r="B17" s="19" t="s">
        <v>543</v>
      </c>
      <c r="C17" s="7">
        <v>4754.82</v>
      </c>
      <c r="D17" s="7">
        <v>14050.32</v>
      </c>
      <c r="E17" s="7">
        <v>10041.879999999999</v>
      </c>
      <c r="F17" s="7">
        <v>3483.02</v>
      </c>
      <c r="G17" s="7">
        <v>13955.25</v>
      </c>
      <c r="H17" s="7">
        <v>8977.85</v>
      </c>
      <c r="I17" s="7">
        <v>9359.33</v>
      </c>
      <c r="J17" s="7">
        <v>5022.47</v>
      </c>
      <c r="K17" s="7">
        <v>16433.919999999998</v>
      </c>
      <c r="L17" s="7">
        <v>8971.06</v>
      </c>
      <c r="M17" s="7">
        <v>8550.14</v>
      </c>
      <c r="N17" s="7">
        <v>8924.41</v>
      </c>
      <c r="O17" s="7">
        <v>9292.5499999999993</v>
      </c>
      <c r="P17" s="7">
        <v>5303.66</v>
      </c>
      <c r="Q17" s="7">
        <v>12334.35</v>
      </c>
      <c r="R17" s="7">
        <v>139455.03</v>
      </c>
    </row>
    <row r="18" spans="1:18" x14ac:dyDescent="0.3">
      <c r="A18" s="2"/>
      <c r="B18" s="19" t="s">
        <v>41</v>
      </c>
      <c r="C18" s="7">
        <v>15.19</v>
      </c>
      <c r="D18" s="7">
        <v>0</v>
      </c>
      <c r="E18" s="7">
        <v>0</v>
      </c>
      <c r="F18" s="7">
        <v>0</v>
      </c>
      <c r="G18" s="7">
        <v>0</v>
      </c>
      <c r="H18" s="7">
        <v>144.94</v>
      </c>
      <c r="I18" s="7">
        <v>0</v>
      </c>
      <c r="J18" s="7">
        <v>0</v>
      </c>
      <c r="K18" s="7">
        <v>0</v>
      </c>
      <c r="L18" s="7">
        <v>0</v>
      </c>
      <c r="M18" s="7">
        <v>0</v>
      </c>
      <c r="N18" s="7">
        <v>807.5</v>
      </c>
      <c r="O18" s="7">
        <v>0</v>
      </c>
      <c r="P18" s="7">
        <v>0</v>
      </c>
      <c r="Q18" s="7">
        <v>0</v>
      </c>
      <c r="R18" s="7">
        <v>967.63</v>
      </c>
    </row>
    <row r="19" spans="1:18" x14ac:dyDescent="0.3">
      <c r="A19" s="2"/>
      <c r="B19" s="19" t="s">
        <v>42</v>
      </c>
      <c r="C19" s="7">
        <v>965.4</v>
      </c>
      <c r="D19" s="7">
        <v>0</v>
      </c>
      <c r="E19" s="7">
        <v>0</v>
      </c>
      <c r="F19" s="7">
        <v>948.82</v>
      </c>
      <c r="G19" s="7">
        <v>0</v>
      </c>
      <c r="H19" s="7">
        <v>0</v>
      </c>
      <c r="I19" s="7">
        <v>1147.95</v>
      </c>
      <c r="J19" s="7">
        <v>0</v>
      </c>
      <c r="K19" s="7">
        <v>0</v>
      </c>
      <c r="L19" s="7">
        <v>942.27</v>
      </c>
      <c r="M19" s="7">
        <v>0</v>
      </c>
      <c r="N19" s="7">
        <v>0</v>
      </c>
      <c r="O19" s="7">
        <v>0</v>
      </c>
      <c r="P19" s="7">
        <v>0</v>
      </c>
      <c r="Q19" s="7">
        <v>0</v>
      </c>
      <c r="R19" s="7">
        <v>4004.44</v>
      </c>
    </row>
    <row r="20" spans="1:18" x14ac:dyDescent="0.3">
      <c r="A20" s="2"/>
      <c r="B20" s="19" t="s">
        <v>43</v>
      </c>
      <c r="C20" s="7">
        <v>0</v>
      </c>
      <c r="D20" s="7">
        <v>0</v>
      </c>
      <c r="E20" s="7">
        <v>0</v>
      </c>
      <c r="F20" s="7">
        <v>0</v>
      </c>
      <c r="G20" s="7">
        <v>0</v>
      </c>
      <c r="H20" s="7">
        <v>0</v>
      </c>
      <c r="I20" s="7">
        <v>0</v>
      </c>
      <c r="J20" s="7">
        <v>0</v>
      </c>
      <c r="K20" s="7">
        <v>0</v>
      </c>
      <c r="L20" s="7">
        <v>0</v>
      </c>
      <c r="M20" s="7">
        <v>0</v>
      </c>
      <c r="N20" s="7">
        <v>-94.81</v>
      </c>
      <c r="O20" s="7">
        <v>-158.58000000000001</v>
      </c>
      <c r="P20" s="7">
        <v>-138.72</v>
      </c>
      <c r="Q20" s="7">
        <v>-153.6</v>
      </c>
      <c r="R20" s="7">
        <v>-545.71</v>
      </c>
    </row>
    <row r="21" spans="1:18" x14ac:dyDescent="0.3">
      <c r="A21" s="2"/>
      <c r="B21" s="19" t="s">
        <v>44</v>
      </c>
      <c r="C21" s="7">
        <v>0</v>
      </c>
      <c r="D21" s="7">
        <v>0</v>
      </c>
      <c r="E21" s="7">
        <v>0</v>
      </c>
      <c r="F21" s="7">
        <v>0</v>
      </c>
      <c r="G21" s="7">
        <v>0</v>
      </c>
      <c r="H21" s="7">
        <v>0</v>
      </c>
      <c r="I21" s="7">
        <v>0</v>
      </c>
      <c r="J21" s="7">
        <v>0</v>
      </c>
      <c r="K21" s="7">
        <v>0</v>
      </c>
      <c r="L21" s="7">
        <v>0</v>
      </c>
      <c r="M21" s="7">
        <v>0</v>
      </c>
      <c r="N21" s="7">
        <v>0</v>
      </c>
      <c r="O21" s="7">
        <v>115.18</v>
      </c>
      <c r="P21" s="7">
        <v>131.29</v>
      </c>
      <c r="Q21" s="7">
        <v>111.57</v>
      </c>
      <c r="R21" s="7">
        <v>358.04</v>
      </c>
    </row>
    <row r="22" spans="1:18" x14ac:dyDescent="0.3">
      <c r="A22" s="2"/>
      <c r="B22" s="19" t="s">
        <v>45</v>
      </c>
      <c r="C22" s="7">
        <v>7522.54</v>
      </c>
      <c r="D22" s="7">
        <v>4538.54</v>
      </c>
      <c r="E22" s="7">
        <v>4301.76</v>
      </c>
      <c r="F22" s="7">
        <v>4197.24</v>
      </c>
      <c r="G22" s="7">
        <v>4071.99</v>
      </c>
      <c r="H22" s="7">
        <v>3234</v>
      </c>
      <c r="I22" s="7">
        <v>3794.87</v>
      </c>
      <c r="J22" s="7">
        <v>-4196.0600000000004</v>
      </c>
      <c r="K22" s="7">
        <v>3195.98</v>
      </c>
      <c r="L22" s="7">
        <v>1687.58</v>
      </c>
      <c r="M22" s="7">
        <v>3322.17</v>
      </c>
      <c r="N22" s="7">
        <v>4521.8500000000004</v>
      </c>
      <c r="O22" s="7">
        <v>2913.67</v>
      </c>
      <c r="P22" s="7">
        <v>3047.83</v>
      </c>
      <c r="Q22" s="7">
        <v>2514.71</v>
      </c>
      <c r="R22" s="7">
        <v>48668.67</v>
      </c>
    </row>
    <row r="23" spans="1:18" x14ac:dyDescent="0.3">
      <c r="A23" s="2"/>
      <c r="B23" s="20" t="s">
        <v>46</v>
      </c>
      <c r="C23" s="14">
        <v>84665.17</v>
      </c>
      <c r="D23" s="14">
        <v>68286.3</v>
      </c>
      <c r="E23" s="14">
        <v>63930.79</v>
      </c>
      <c r="F23" s="14">
        <v>56880.28</v>
      </c>
      <c r="G23" s="14">
        <v>67308.92</v>
      </c>
      <c r="H23" s="14">
        <v>63801.71</v>
      </c>
      <c r="I23" s="14">
        <v>61331.43</v>
      </c>
      <c r="J23" s="14">
        <v>73525.429999999993</v>
      </c>
      <c r="K23" s="14">
        <v>62912.639999999999</v>
      </c>
      <c r="L23" s="14">
        <v>55172.26</v>
      </c>
      <c r="M23" s="14">
        <v>56359.14</v>
      </c>
      <c r="N23" s="14">
        <v>63057.38</v>
      </c>
      <c r="O23" s="14">
        <v>43691.69</v>
      </c>
      <c r="P23" s="14">
        <v>48612.12</v>
      </c>
      <c r="Q23" s="14">
        <v>48822.27</v>
      </c>
      <c r="R23" s="14">
        <v>918357.53</v>
      </c>
    </row>
    <row r="24" spans="1:18" x14ac:dyDescent="0.3">
      <c r="A24" s="2"/>
      <c r="B24" s="13" t="s">
        <v>47</v>
      </c>
      <c r="C24" s="14">
        <v>93161.71</v>
      </c>
      <c r="D24" s="14">
        <v>93435.12</v>
      </c>
      <c r="E24" s="14">
        <v>74035.86</v>
      </c>
      <c r="F24" s="14">
        <v>120981.31</v>
      </c>
      <c r="G24" s="14">
        <v>87744.53</v>
      </c>
      <c r="H24" s="14">
        <v>83448.91</v>
      </c>
      <c r="I24" s="14">
        <v>142455.24</v>
      </c>
      <c r="J24" s="14">
        <v>78718.429999999993</v>
      </c>
      <c r="K24" s="14">
        <v>71490.64</v>
      </c>
      <c r="L24" s="14">
        <v>101988.61</v>
      </c>
      <c r="M24" s="14">
        <v>70728.14</v>
      </c>
      <c r="N24" s="14">
        <v>72289.179999999993</v>
      </c>
      <c r="O24" s="14">
        <v>64585.39</v>
      </c>
      <c r="P24" s="14">
        <v>53446.61</v>
      </c>
      <c r="Q24" s="14">
        <v>56734.67</v>
      </c>
      <c r="R24" s="14">
        <v>1265244.3500000001</v>
      </c>
    </row>
    <row r="25" spans="1:18" x14ac:dyDescent="0.3">
      <c r="A25" s="2"/>
      <c r="B25" s="15" t="s">
        <v>48</v>
      </c>
      <c r="C25" s="16">
        <v>-12467.21</v>
      </c>
      <c r="D25" s="16">
        <v>90544.69</v>
      </c>
      <c r="E25" s="16">
        <v>125100.44</v>
      </c>
      <c r="F25" s="16">
        <v>56080.09</v>
      </c>
      <c r="G25" s="16">
        <v>95999.1</v>
      </c>
      <c r="H25" s="16">
        <v>103440.05</v>
      </c>
      <c r="I25" s="16">
        <v>-48339.02</v>
      </c>
      <c r="J25" s="16">
        <v>87862.37</v>
      </c>
      <c r="K25" s="16">
        <v>124097.56</v>
      </c>
      <c r="L25" s="16">
        <v>64013.16</v>
      </c>
      <c r="M25" s="16">
        <v>174098.2</v>
      </c>
      <c r="N25" s="16">
        <v>65880.77</v>
      </c>
      <c r="O25" s="16">
        <v>114683.44</v>
      </c>
      <c r="P25" s="16">
        <v>95684.84</v>
      </c>
      <c r="Q25" s="16">
        <v>74748.47</v>
      </c>
      <c r="R25" s="16">
        <v>1211426.95</v>
      </c>
    </row>
    <row r="26" spans="1:18" x14ac:dyDescent="0.3">
      <c r="A26" s="2"/>
      <c r="B26" s="17" t="s">
        <v>49</v>
      </c>
      <c r="C26" s="18"/>
      <c r="D26" s="18"/>
      <c r="E26" s="18"/>
      <c r="F26" s="18"/>
      <c r="G26" s="18"/>
      <c r="H26" s="18"/>
      <c r="I26" s="18"/>
      <c r="J26" s="18"/>
      <c r="K26" s="18"/>
      <c r="L26" s="18"/>
      <c r="M26" s="18"/>
      <c r="N26" s="18"/>
      <c r="O26" s="18"/>
      <c r="P26" s="18"/>
      <c r="Q26" s="18"/>
      <c r="R26" s="18"/>
    </row>
    <row r="27" spans="1:18" x14ac:dyDescent="0.3">
      <c r="A27" s="2"/>
      <c r="B27" s="11" t="s">
        <v>50</v>
      </c>
      <c r="C27" s="7">
        <v>0</v>
      </c>
      <c r="D27" s="7">
        <v>0</v>
      </c>
      <c r="E27" s="7">
        <v>0</v>
      </c>
      <c r="F27" s="7">
        <v>0</v>
      </c>
      <c r="G27" s="7">
        <v>0</v>
      </c>
      <c r="H27" s="7">
        <v>0</v>
      </c>
      <c r="I27" s="7">
        <v>0</v>
      </c>
      <c r="J27" s="7">
        <v>0</v>
      </c>
      <c r="K27" s="7">
        <v>0</v>
      </c>
      <c r="L27" s="7">
        <v>0</v>
      </c>
      <c r="M27" s="7">
        <v>0</v>
      </c>
      <c r="N27" s="7">
        <v>0</v>
      </c>
      <c r="O27" s="7">
        <v>0</v>
      </c>
      <c r="P27" s="7">
        <v>0</v>
      </c>
      <c r="Q27" s="7">
        <v>0</v>
      </c>
      <c r="R27" s="7">
        <v>0</v>
      </c>
    </row>
    <row r="28" spans="1:18" x14ac:dyDescent="0.3">
      <c r="A28" s="2"/>
      <c r="B28" s="19" t="s">
        <v>51</v>
      </c>
      <c r="C28" s="7">
        <v>32055.41</v>
      </c>
      <c r="D28" s="7">
        <v>22309.67</v>
      </c>
      <c r="E28" s="7">
        <v>22260.16</v>
      </c>
      <c r="F28" s="7">
        <v>21660.47</v>
      </c>
      <c r="G28" s="7">
        <v>22123.03</v>
      </c>
      <c r="H28" s="7">
        <v>23094.13</v>
      </c>
      <c r="I28" s="7">
        <v>21111.91</v>
      </c>
      <c r="J28" s="7">
        <v>32635.31</v>
      </c>
      <c r="K28" s="7">
        <v>19430.05</v>
      </c>
      <c r="L28" s="7">
        <v>19559.61</v>
      </c>
      <c r="M28" s="7">
        <v>19970.580000000002</v>
      </c>
      <c r="N28" s="7">
        <v>21950.99</v>
      </c>
      <c r="O28" s="7">
        <v>24990.2</v>
      </c>
      <c r="P28" s="7">
        <v>23256.92</v>
      </c>
      <c r="Q28" s="7">
        <v>26602.89</v>
      </c>
      <c r="R28" s="7">
        <v>353011.33</v>
      </c>
    </row>
    <row r="29" spans="1:18" x14ac:dyDescent="0.3">
      <c r="A29" s="2"/>
      <c r="B29" s="19" t="s">
        <v>52</v>
      </c>
      <c r="C29" s="7">
        <v>0</v>
      </c>
      <c r="D29" s="7">
        <v>0</v>
      </c>
      <c r="E29" s="7">
        <v>0</v>
      </c>
      <c r="F29" s="7">
        <v>0</v>
      </c>
      <c r="G29" s="7">
        <v>0</v>
      </c>
      <c r="H29" s="7">
        <v>0</v>
      </c>
      <c r="I29" s="7">
        <v>0</v>
      </c>
      <c r="J29" s="7">
        <v>0</v>
      </c>
      <c r="K29" s="7">
        <v>0</v>
      </c>
      <c r="L29" s="7">
        <v>0</v>
      </c>
      <c r="M29" s="7">
        <v>0</v>
      </c>
      <c r="N29" s="7">
        <v>0</v>
      </c>
      <c r="O29" s="7">
        <v>0</v>
      </c>
      <c r="P29" s="7">
        <v>11741.85</v>
      </c>
      <c r="Q29" s="7">
        <v>0</v>
      </c>
      <c r="R29" s="7">
        <v>11741.85</v>
      </c>
    </row>
    <row r="30" spans="1:18" x14ac:dyDescent="0.3">
      <c r="A30" s="2"/>
      <c r="B30" s="19" t="s">
        <v>53</v>
      </c>
      <c r="C30" s="7">
        <v>24486.87</v>
      </c>
      <c r="D30" s="7">
        <v>16324.58</v>
      </c>
      <c r="E30" s="7">
        <v>16324.57</v>
      </c>
      <c r="F30" s="7">
        <v>16324.58</v>
      </c>
      <c r="G30" s="7">
        <v>16324.59</v>
      </c>
      <c r="H30" s="7">
        <v>16324.57</v>
      </c>
      <c r="I30" s="7">
        <v>16324.58</v>
      </c>
      <c r="J30" s="7">
        <v>24486.87</v>
      </c>
      <c r="K30" s="7">
        <v>16324.58</v>
      </c>
      <c r="L30" s="7">
        <v>16324.58</v>
      </c>
      <c r="M30" s="7">
        <v>16324.58</v>
      </c>
      <c r="N30" s="7">
        <v>16324.58</v>
      </c>
      <c r="O30" s="7">
        <v>18656.669999999998</v>
      </c>
      <c r="P30" s="7">
        <v>16324.58</v>
      </c>
      <c r="Q30" s="7">
        <v>18073.64</v>
      </c>
      <c r="R30" s="7">
        <v>265274.42</v>
      </c>
    </row>
    <row r="31" spans="1:18" x14ac:dyDescent="0.3">
      <c r="A31" s="2"/>
      <c r="B31" s="19" t="s">
        <v>544</v>
      </c>
      <c r="C31" s="7">
        <v>2134.4899999999998</v>
      </c>
      <c r="D31" s="7">
        <v>6307.34</v>
      </c>
      <c r="E31" s="7">
        <v>4507.8999999999996</v>
      </c>
      <c r="F31" s="7">
        <v>1563.56</v>
      </c>
      <c r="G31" s="7">
        <v>6264.64</v>
      </c>
      <c r="H31" s="7">
        <v>4030.25</v>
      </c>
      <c r="I31" s="7">
        <v>4201.5</v>
      </c>
      <c r="J31" s="7">
        <v>2254.64</v>
      </c>
      <c r="K31" s="7">
        <v>7377.35</v>
      </c>
      <c r="L31" s="7">
        <v>4027.2</v>
      </c>
      <c r="M31" s="7">
        <v>3838.24</v>
      </c>
      <c r="N31" s="7">
        <v>4006.26</v>
      </c>
      <c r="O31" s="7">
        <v>5627.01</v>
      </c>
      <c r="P31" s="7">
        <v>2096.3000000000002</v>
      </c>
      <c r="Q31" s="7">
        <v>8783.36</v>
      </c>
      <c r="R31" s="7">
        <v>67020.039999999994</v>
      </c>
    </row>
    <row r="32" spans="1:18" x14ac:dyDescent="0.3">
      <c r="A32" s="2"/>
      <c r="B32" s="19" t="s">
        <v>54</v>
      </c>
      <c r="C32" s="7">
        <v>6.82</v>
      </c>
      <c r="D32" s="7">
        <v>0</v>
      </c>
      <c r="E32" s="7">
        <v>0</v>
      </c>
      <c r="F32" s="7">
        <v>0</v>
      </c>
      <c r="G32" s="7">
        <v>0</v>
      </c>
      <c r="H32" s="7">
        <v>65.06</v>
      </c>
      <c r="I32" s="7">
        <v>0</v>
      </c>
      <c r="J32" s="7">
        <v>0</v>
      </c>
      <c r="K32" s="7">
        <v>0</v>
      </c>
      <c r="L32" s="7">
        <v>0</v>
      </c>
      <c r="M32" s="7">
        <v>0</v>
      </c>
      <c r="N32" s="7">
        <v>362.5</v>
      </c>
      <c r="O32" s="7">
        <v>0</v>
      </c>
      <c r="P32" s="7">
        <v>0</v>
      </c>
      <c r="Q32" s="7">
        <v>0</v>
      </c>
      <c r="R32" s="7">
        <v>434.38</v>
      </c>
    </row>
    <row r="33" spans="1:18" x14ac:dyDescent="0.3">
      <c r="A33" s="2"/>
      <c r="B33" s="19" t="s">
        <v>55</v>
      </c>
      <c r="C33" s="7">
        <v>433.38</v>
      </c>
      <c r="D33" s="7">
        <v>0</v>
      </c>
      <c r="E33" s="7">
        <v>0</v>
      </c>
      <c r="F33" s="7">
        <v>425.93</v>
      </c>
      <c r="G33" s="7">
        <v>0</v>
      </c>
      <c r="H33" s="7">
        <v>0</v>
      </c>
      <c r="I33" s="7">
        <v>515.33000000000004</v>
      </c>
      <c r="J33" s="7">
        <v>0</v>
      </c>
      <c r="K33" s="7">
        <v>0</v>
      </c>
      <c r="L33" s="7">
        <v>422.99</v>
      </c>
      <c r="M33" s="7">
        <v>0</v>
      </c>
      <c r="N33" s="7">
        <v>0</v>
      </c>
      <c r="O33" s="7">
        <v>1588.85</v>
      </c>
      <c r="P33" s="7">
        <v>0</v>
      </c>
      <c r="Q33" s="7">
        <v>0</v>
      </c>
      <c r="R33" s="7">
        <v>3386.48</v>
      </c>
    </row>
    <row r="34" spans="1:18" x14ac:dyDescent="0.3">
      <c r="A34" s="2"/>
      <c r="B34" s="19" t="s">
        <v>56</v>
      </c>
      <c r="C34" s="7">
        <v>0</v>
      </c>
      <c r="D34" s="7">
        <v>0</v>
      </c>
      <c r="E34" s="7">
        <v>0</v>
      </c>
      <c r="F34" s="7">
        <v>0</v>
      </c>
      <c r="G34" s="7">
        <v>0</v>
      </c>
      <c r="H34" s="7">
        <v>0</v>
      </c>
      <c r="I34" s="7">
        <v>0</v>
      </c>
      <c r="J34" s="7">
        <v>0</v>
      </c>
      <c r="K34" s="7">
        <v>0</v>
      </c>
      <c r="L34" s="7">
        <v>0</v>
      </c>
      <c r="M34" s="7">
        <v>0</v>
      </c>
      <c r="N34" s="7">
        <v>-42.56</v>
      </c>
      <c r="O34" s="7">
        <v>-12.66</v>
      </c>
      <c r="P34" s="7">
        <v>-11.08</v>
      </c>
      <c r="Q34" s="7">
        <v>-12.27</v>
      </c>
      <c r="R34" s="7">
        <v>-78.569999999999993</v>
      </c>
    </row>
    <row r="35" spans="1:18" x14ac:dyDescent="0.3">
      <c r="A35" s="2"/>
      <c r="B35" s="19" t="s">
        <v>57</v>
      </c>
      <c r="C35" s="7">
        <v>0</v>
      </c>
      <c r="D35" s="7">
        <v>0</v>
      </c>
      <c r="E35" s="7">
        <v>0</v>
      </c>
      <c r="F35" s="7">
        <v>0</v>
      </c>
      <c r="G35" s="7">
        <v>0</v>
      </c>
      <c r="H35" s="7">
        <v>0</v>
      </c>
      <c r="I35" s="7">
        <v>0</v>
      </c>
      <c r="J35" s="7">
        <v>0</v>
      </c>
      <c r="K35" s="7">
        <v>0</v>
      </c>
      <c r="L35" s="7">
        <v>0</v>
      </c>
      <c r="M35" s="7">
        <v>0</v>
      </c>
      <c r="N35" s="7">
        <v>0</v>
      </c>
      <c r="O35" s="7">
        <v>61.12</v>
      </c>
      <c r="P35" s="7">
        <v>84.4</v>
      </c>
      <c r="Q35" s="7">
        <v>59.21</v>
      </c>
      <c r="R35" s="7">
        <v>204.73</v>
      </c>
    </row>
    <row r="36" spans="1:18" x14ac:dyDescent="0.3">
      <c r="A36" s="2"/>
      <c r="B36" s="19" t="s">
        <v>58</v>
      </c>
      <c r="C36" s="7">
        <v>3376.94</v>
      </c>
      <c r="D36" s="7">
        <v>2037.4</v>
      </c>
      <c r="E36" s="7">
        <v>1931.1</v>
      </c>
      <c r="F36" s="7">
        <v>1884.18</v>
      </c>
      <c r="G36" s="7">
        <v>1827.96</v>
      </c>
      <c r="H36" s="7">
        <v>1451.78</v>
      </c>
      <c r="I36" s="7">
        <v>1703.55</v>
      </c>
      <c r="J36" s="7">
        <v>-1883.65</v>
      </c>
      <c r="K36" s="7">
        <v>1434.71</v>
      </c>
      <c r="L36" s="7">
        <v>757.57</v>
      </c>
      <c r="M36" s="7">
        <v>1491.36</v>
      </c>
      <c r="N36" s="7">
        <v>0</v>
      </c>
      <c r="O36" s="7">
        <v>3004.01</v>
      </c>
      <c r="P36" s="7">
        <v>2656.69</v>
      </c>
      <c r="Q36" s="7">
        <v>1999.42</v>
      </c>
      <c r="R36" s="7">
        <v>23673.02</v>
      </c>
    </row>
    <row r="37" spans="1:18" x14ac:dyDescent="0.3">
      <c r="A37" s="2"/>
      <c r="B37" s="20" t="s">
        <v>59</v>
      </c>
      <c r="C37" s="14">
        <v>62493.91</v>
      </c>
      <c r="D37" s="14">
        <v>46978.99</v>
      </c>
      <c r="E37" s="14">
        <v>45023.73</v>
      </c>
      <c r="F37" s="14">
        <v>41858.720000000001</v>
      </c>
      <c r="G37" s="14">
        <v>46540.22</v>
      </c>
      <c r="H37" s="14">
        <v>44965.79</v>
      </c>
      <c r="I37" s="14">
        <v>43856.87</v>
      </c>
      <c r="J37" s="14">
        <v>57493.17</v>
      </c>
      <c r="K37" s="14">
        <v>44566.69</v>
      </c>
      <c r="L37" s="14">
        <v>41091.949999999997</v>
      </c>
      <c r="M37" s="14">
        <v>41624.76</v>
      </c>
      <c r="N37" s="14">
        <v>42601.77</v>
      </c>
      <c r="O37" s="14">
        <v>53915.199999999997</v>
      </c>
      <c r="P37" s="14">
        <v>56149.66</v>
      </c>
      <c r="Q37" s="14">
        <v>55506.25</v>
      </c>
      <c r="R37" s="14">
        <v>724667.68</v>
      </c>
    </row>
    <row r="38" spans="1:18" x14ac:dyDescent="0.3">
      <c r="A38" s="2"/>
      <c r="B38" s="11" t="s">
        <v>60</v>
      </c>
      <c r="C38" s="7">
        <v>0</v>
      </c>
      <c r="D38" s="7">
        <v>0</v>
      </c>
      <c r="E38" s="7">
        <v>0</v>
      </c>
      <c r="F38" s="7">
        <v>0</v>
      </c>
      <c r="G38" s="7">
        <v>0</v>
      </c>
      <c r="H38" s="7">
        <v>0</v>
      </c>
      <c r="I38" s="7">
        <v>0</v>
      </c>
      <c r="J38" s="7">
        <v>0</v>
      </c>
      <c r="K38" s="7">
        <v>0</v>
      </c>
      <c r="L38" s="7">
        <v>0</v>
      </c>
      <c r="M38" s="7">
        <v>0</v>
      </c>
      <c r="N38" s="7">
        <v>0</v>
      </c>
      <c r="O38" s="7">
        <v>0</v>
      </c>
      <c r="P38" s="7">
        <v>0</v>
      </c>
      <c r="Q38" s="7">
        <v>0</v>
      </c>
      <c r="R38" s="7">
        <v>0</v>
      </c>
    </row>
    <row r="39" spans="1:18" x14ac:dyDescent="0.3">
      <c r="A39" s="2"/>
      <c r="B39" s="19" t="s">
        <v>61</v>
      </c>
      <c r="C39" s="7">
        <v>0</v>
      </c>
      <c r="D39" s="7">
        <v>0</v>
      </c>
      <c r="E39" s="7">
        <v>0</v>
      </c>
      <c r="F39" s="7">
        <v>0</v>
      </c>
      <c r="G39" s="7">
        <v>0</v>
      </c>
      <c r="H39" s="7">
        <v>0</v>
      </c>
      <c r="I39" s="7">
        <v>0</v>
      </c>
      <c r="J39" s="7">
        <v>0</v>
      </c>
      <c r="K39" s="7">
        <v>0</v>
      </c>
      <c r="L39" s="7">
        <v>0</v>
      </c>
      <c r="M39" s="7">
        <v>0</v>
      </c>
      <c r="N39" s="7">
        <v>0</v>
      </c>
      <c r="O39" s="7">
        <v>916.66</v>
      </c>
      <c r="P39" s="7">
        <v>0</v>
      </c>
      <c r="Q39" s="7">
        <v>0</v>
      </c>
      <c r="R39" s="7">
        <v>916.66</v>
      </c>
    </row>
    <row r="40" spans="1:18" x14ac:dyDescent="0.3">
      <c r="A40" s="2"/>
      <c r="B40" s="19" t="s">
        <v>62</v>
      </c>
      <c r="C40" s="7">
        <v>0</v>
      </c>
      <c r="D40" s="7">
        <v>0</v>
      </c>
      <c r="E40" s="7">
        <v>0</v>
      </c>
      <c r="F40" s="7">
        <v>0</v>
      </c>
      <c r="G40" s="7">
        <v>276.7</v>
      </c>
      <c r="H40" s="7">
        <v>0</v>
      </c>
      <c r="I40" s="7">
        <v>0</v>
      </c>
      <c r="J40" s="7">
        <v>22.85</v>
      </c>
      <c r="K40" s="7">
        <v>0</v>
      </c>
      <c r="L40" s="7">
        <v>304.83999999999997</v>
      </c>
      <c r="M40" s="7">
        <v>1048.04</v>
      </c>
      <c r="N40" s="7">
        <v>0</v>
      </c>
      <c r="O40" s="7">
        <v>0</v>
      </c>
      <c r="P40" s="7">
        <v>0</v>
      </c>
      <c r="Q40" s="7">
        <v>0</v>
      </c>
      <c r="R40" s="7">
        <v>1652.43</v>
      </c>
    </row>
    <row r="41" spans="1:18" x14ac:dyDescent="0.3">
      <c r="A41" s="2"/>
      <c r="B41" s="19" t="s">
        <v>63</v>
      </c>
      <c r="C41" s="7">
        <v>0</v>
      </c>
      <c r="D41" s="7">
        <v>0</v>
      </c>
      <c r="E41" s="7">
        <v>0</v>
      </c>
      <c r="F41" s="7">
        <v>0</v>
      </c>
      <c r="G41" s="7">
        <v>0</v>
      </c>
      <c r="H41" s="7">
        <v>0</v>
      </c>
      <c r="I41" s="7">
        <v>0</v>
      </c>
      <c r="J41" s="7">
        <v>0</v>
      </c>
      <c r="K41" s="7">
        <v>0</v>
      </c>
      <c r="L41" s="7">
        <v>0</v>
      </c>
      <c r="M41" s="7">
        <v>1139.1199999999999</v>
      </c>
      <c r="N41" s="7">
        <v>0</v>
      </c>
      <c r="O41" s="7">
        <v>0</v>
      </c>
      <c r="P41" s="7">
        <v>0</v>
      </c>
      <c r="Q41" s="7">
        <v>0</v>
      </c>
      <c r="R41" s="7">
        <v>1139.1199999999999</v>
      </c>
    </row>
    <row r="42" spans="1:18" x14ac:dyDescent="0.3">
      <c r="A42" s="2"/>
      <c r="B42" s="20" t="s">
        <v>64</v>
      </c>
      <c r="C42" s="14">
        <v>0</v>
      </c>
      <c r="D42" s="14">
        <v>0</v>
      </c>
      <c r="E42" s="14">
        <v>0</v>
      </c>
      <c r="F42" s="14">
        <v>0</v>
      </c>
      <c r="G42" s="14">
        <v>276.7</v>
      </c>
      <c r="H42" s="14">
        <v>0</v>
      </c>
      <c r="I42" s="14">
        <v>0</v>
      </c>
      <c r="J42" s="14">
        <v>22.85</v>
      </c>
      <c r="K42" s="14">
        <v>0</v>
      </c>
      <c r="L42" s="14">
        <v>304.83999999999997</v>
      </c>
      <c r="M42" s="14">
        <v>2187.16</v>
      </c>
      <c r="N42" s="14">
        <v>0</v>
      </c>
      <c r="O42" s="14">
        <v>916.66</v>
      </c>
      <c r="P42" s="14">
        <v>0</v>
      </c>
      <c r="Q42" s="14">
        <v>0</v>
      </c>
      <c r="R42" s="14">
        <v>3708.21</v>
      </c>
    </row>
    <row r="43" spans="1:18" x14ac:dyDescent="0.3">
      <c r="A43" s="2"/>
      <c r="B43" s="11" t="s">
        <v>65</v>
      </c>
      <c r="C43" s="7">
        <v>0</v>
      </c>
      <c r="D43" s="7">
        <v>0</v>
      </c>
      <c r="E43" s="7">
        <v>0</v>
      </c>
      <c r="F43" s="7">
        <v>0</v>
      </c>
      <c r="G43" s="7">
        <v>0</v>
      </c>
      <c r="H43" s="7">
        <v>0</v>
      </c>
      <c r="I43" s="7">
        <v>0</v>
      </c>
      <c r="J43" s="7">
        <v>0</v>
      </c>
      <c r="K43" s="7">
        <v>0</v>
      </c>
      <c r="L43" s="7">
        <v>0</v>
      </c>
      <c r="M43" s="7">
        <v>0</v>
      </c>
      <c r="N43" s="7">
        <v>0</v>
      </c>
      <c r="O43" s="7">
        <v>0</v>
      </c>
      <c r="P43" s="7">
        <v>0</v>
      </c>
      <c r="Q43" s="7">
        <v>0</v>
      </c>
      <c r="R43" s="7">
        <v>0</v>
      </c>
    </row>
    <row r="44" spans="1:18" x14ac:dyDescent="0.3">
      <c r="A44" s="2"/>
      <c r="B44" s="19" t="s">
        <v>66</v>
      </c>
      <c r="C44" s="7">
        <v>0</v>
      </c>
      <c r="D44" s="7">
        <v>0</v>
      </c>
      <c r="E44" s="7">
        <v>0</v>
      </c>
      <c r="F44" s="7">
        <v>0</v>
      </c>
      <c r="G44" s="7">
        <v>5184.1899999999996</v>
      </c>
      <c r="H44" s="7">
        <v>4000</v>
      </c>
      <c r="I44" s="7">
        <v>2478.31</v>
      </c>
      <c r="J44" s="7">
        <v>687.45</v>
      </c>
      <c r="K44" s="7">
        <v>0</v>
      </c>
      <c r="L44" s="7">
        <v>0</v>
      </c>
      <c r="M44" s="7">
        <v>12500</v>
      </c>
      <c r="N44" s="7">
        <v>22500</v>
      </c>
      <c r="O44" s="7">
        <v>18947.849999999999</v>
      </c>
      <c r="P44" s="7">
        <v>1225</v>
      </c>
      <c r="Q44" s="7">
        <v>0</v>
      </c>
      <c r="R44" s="7">
        <v>67522.8</v>
      </c>
    </row>
    <row r="45" spans="1:18" x14ac:dyDescent="0.3">
      <c r="A45" s="2"/>
      <c r="B45" s="19" t="s">
        <v>67</v>
      </c>
      <c r="C45" s="7">
        <v>100</v>
      </c>
      <c r="D45" s="7">
        <v>215.63</v>
      </c>
      <c r="E45" s="7">
        <v>0</v>
      </c>
      <c r="F45" s="7">
        <v>0</v>
      </c>
      <c r="G45" s="7">
        <v>549.99</v>
      </c>
      <c r="H45" s="7">
        <v>0</v>
      </c>
      <c r="I45" s="7">
        <v>0</v>
      </c>
      <c r="J45" s="7">
        <v>0</v>
      </c>
      <c r="K45" s="7">
        <v>0</v>
      </c>
      <c r="L45" s="7">
        <v>0</v>
      </c>
      <c r="M45" s="7">
        <v>0</v>
      </c>
      <c r="N45" s="7">
        <v>0</v>
      </c>
      <c r="O45" s="7">
        <v>0</v>
      </c>
      <c r="P45" s="7">
        <v>0</v>
      </c>
      <c r="Q45" s="7">
        <v>0</v>
      </c>
      <c r="R45" s="7">
        <v>865.62</v>
      </c>
    </row>
    <row r="46" spans="1:18" x14ac:dyDescent="0.3">
      <c r="A46" s="2"/>
      <c r="B46" s="19" t="s">
        <v>68</v>
      </c>
      <c r="C46" s="7">
        <v>373.31</v>
      </c>
      <c r="D46" s="7">
        <v>1575.23</v>
      </c>
      <c r="E46" s="7">
        <v>250</v>
      </c>
      <c r="F46" s="7">
        <v>250</v>
      </c>
      <c r="G46" s="7">
        <v>600</v>
      </c>
      <c r="H46" s="7">
        <v>1950</v>
      </c>
      <c r="I46" s="7">
        <v>5800</v>
      </c>
      <c r="J46" s="7">
        <v>5800</v>
      </c>
      <c r="K46" s="7">
        <v>1500</v>
      </c>
      <c r="L46" s="7">
        <v>2020</v>
      </c>
      <c r="M46" s="7">
        <v>9650</v>
      </c>
      <c r="N46" s="7">
        <v>5800</v>
      </c>
      <c r="O46" s="7">
        <v>7400</v>
      </c>
      <c r="P46" s="7">
        <v>5500</v>
      </c>
      <c r="Q46" s="7">
        <v>8800</v>
      </c>
      <c r="R46" s="7">
        <v>57268.54</v>
      </c>
    </row>
    <row r="47" spans="1:18" x14ac:dyDescent="0.3">
      <c r="A47" s="2"/>
      <c r="B47" s="19" t="s">
        <v>69</v>
      </c>
      <c r="C47" s="7">
        <v>0</v>
      </c>
      <c r="D47" s="7">
        <v>0</v>
      </c>
      <c r="E47" s="7">
        <v>298.72000000000003</v>
      </c>
      <c r="F47" s="7">
        <v>322.35000000000002</v>
      </c>
      <c r="G47" s="7">
        <v>0</v>
      </c>
      <c r="H47" s="7">
        <v>0</v>
      </c>
      <c r="I47" s="7">
        <v>0</v>
      </c>
      <c r="J47" s="7">
        <v>0</v>
      </c>
      <c r="K47" s="7">
        <v>0</v>
      </c>
      <c r="L47" s="7">
        <v>0</v>
      </c>
      <c r="M47" s="7">
        <v>0</v>
      </c>
      <c r="N47" s="7">
        <v>365.24</v>
      </c>
      <c r="O47" s="7">
        <v>490.55</v>
      </c>
      <c r="P47" s="7">
        <v>393.18</v>
      </c>
      <c r="Q47" s="7">
        <v>0</v>
      </c>
      <c r="R47" s="7">
        <v>1870.04</v>
      </c>
    </row>
    <row r="48" spans="1:18" x14ac:dyDescent="0.3">
      <c r="A48" s="2"/>
      <c r="B48" s="19" t="s">
        <v>70</v>
      </c>
      <c r="C48" s="7">
        <v>1000</v>
      </c>
      <c r="D48" s="7">
        <v>2375</v>
      </c>
      <c r="E48" s="7">
        <v>1593.75</v>
      </c>
      <c r="F48" s="7">
        <v>1875</v>
      </c>
      <c r="G48" s="7">
        <v>4000</v>
      </c>
      <c r="H48" s="7">
        <v>0</v>
      </c>
      <c r="I48" s="7">
        <v>2773.41</v>
      </c>
      <c r="J48" s="7">
        <v>2375</v>
      </c>
      <c r="K48" s="7">
        <v>1562.5</v>
      </c>
      <c r="L48" s="7">
        <v>1125</v>
      </c>
      <c r="M48" s="7">
        <v>1750</v>
      </c>
      <c r="N48" s="7">
        <v>2250</v>
      </c>
      <c r="O48" s="7">
        <v>2432.5</v>
      </c>
      <c r="P48" s="7">
        <v>2245</v>
      </c>
      <c r="Q48" s="7">
        <v>2697.9</v>
      </c>
      <c r="R48" s="7">
        <v>30055.06</v>
      </c>
    </row>
    <row r="49" spans="1:18" x14ac:dyDescent="0.3">
      <c r="A49" s="2"/>
      <c r="B49" s="19" t="s">
        <v>71</v>
      </c>
      <c r="C49" s="7">
        <v>0</v>
      </c>
      <c r="D49" s="7">
        <v>0</v>
      </c>
      <c r="E49" s="7">
        <v>0</v>
      </c>
      <c r="F49" s="7">
        <v>0</v>
      </c>
      <c r="G49" s="7">
        <v>3765.5</v>
      </c>
      <c r="H49" s="7">
        <v>2333.5300000000002</v>
      </c>
      <c r="I49" s="7">
        <v>7080.73</v>
      </c>
      <c r="J49" s="7">
        <v>2036.76</v>
      </c>
      <c r="K49" s="7">
        <v>2036.76</v>
      </c>
      <c r="L49" s="7">
        <v>2036.76</v>
      </c>
      <c r="M49" s="7">
        <v>12671.93</v>
      </c>
      <c r="N49" s="7">
        <v>1640</v>
      </c>
      <c r="O49" s="7">
        <v>1914.95</v>
      </c>
      <c r="P49" s="7">
        <v>2140.25</v>
      </c>
      <c r="Q49" s="7">
        <v>1887.8</v>
      </c>
      <c r="R49" s="7">
        <v>39544.97</v>
      </c>
    </row>
    <row r="50" spans="1:18" x14ac:dyDescent="0.3">
      <c r="A50" s="2"/>
      <c r="B50" s="19" t="s">
        <v>72</v>
      </c>
      <c r="C50" s="7">
        <v>0</v>
      </c>
      <c r="D50" s="7">
        <v>0</v>
      </c>
      <c r="E50" s="7">
        <v>0</v>
      </c>
      <c r="F50" s="7">
        <v>0</v>
      </c>
      <c r="G50" s="7">
        <v>0</v>
      </c>
      <c r="H50" s="7">
        <v>1500</v>
      </c>
      <c r="I50" s="7">
        <v>0</v>
      </c>
      <c r="J50" s="7">
        <v>0</v>
      </c>
      <c r="K50" s="7">
        <v>0</v>
      </c>
      <c r="L50" s="7">
        <v>1600</v>
      </c>
      <c r="M50" s="7">
        <v>0</v>
      </c>
      <c r="N50" s="7">
        <v>0</v>
      </c>
      <c r="O50" s="7">
        <v>1922.5</v>
      </c>
      <c r="P50" s="7">
        <v>0</v>
      </c>
      <c r="Q50" s="7">
        <v>0</v>
      </c>
      <c r="R50" s="7">
        <v>5022.5</v>
      </c>
    </row>
    <row r="51" spans="1:18" x14ac:dyDescent="0.3">
      <c r="A51" s="2"/>
      <c r="B51" s="20" t="s">
        <v>73</v>
      </c>
      <c r="C51" s="14">
        <v>1473.31</v>
      </c>
      <c r="D51" s="14">
        <v>4165.8599999999997</v>
      </c>
      <c r="E51" s="14">
        <v>2142.4699999999998</v>
      </c>
      <c r="F51" s="14">
        <v>2447.35</v>
      </c>
      <c r="G51" s="14">
        <v>14099.68</v>
      </c>
      <c r="H51" s="14">
        <v>9783.5300000000007</v>
      </c>
      <c r="I51" s="14">
        <v>18132.45</v>
      </c>
      <c r="J51" s="14">
        <v>10899.21</v>
      </c>
      <c r="K51" s="14">
        <v>5099.26</v>
      </c>
      <c r="L51" s="14">
        <v>6781.76</v>
      </c>
      <c r="M51" s="14">
        <v>36571.93</v>
      </c>
      <c r="N51" s="14">
        <v>32555.24</v>
      </c>
      <c r="O51" s="14">
        <v>33108.35</v>
      </c>
      <c r="P51" s="14">
        <v>11503.43</v>
      </c>
      <c r="Q51" s="14">
        <v>13385.7</v>
      </c>
      <c r="R51" s="14">
        <v>202149.53</v>
      </c>
    </row>
    <row r="52" spans="1:18" x14ac:dyDescent="0.3">
      <c r="A52" s="2"/>
      <c r="B52" s="11" t="s">
        <v>74</v>
      </c>
      <c r="C52" s="7">
        <v>0</v>
      </c>
      <c r="D52" s="7">
        <v>0</v>
      </c>
      <c r="E52" s="7">
        <v>0</v>
      </c>
      <c r="F52" s="7">
        <v>0</v>
      </c>
      <c r="G52" s="7">
        <v>0</v>
      </c>
      <c r="H52" s="7">
        <v>0</v>
      </c>
      <c r="I52" s="7">
        <v>0</v>
      </c>
      <c r="J52" s="7">
        <v>0</v>
      </c>
      <c r="K52" s="7">
        <v>0</v>
      </c>
      <c r="L52" s="7">
        <v>0</v>
      </c>
      <c r="M52" s="7">
        <v>0</v>
      </c>
      <c r="N52" s="7">
        <v>0</v>
      </c>
      <c r="O52" s="7">
        <v>0</v>
      </c>
      <c r="P52" s="7">
        <v>0</v>
      </c>
      <c r="Q52" s="7">
        <v>0</v>
      </c>
      <c r="R52" s="7">
        <v>0</v>
      </c>
    </row>
    <row r="53" spans="1:18" x14ac:dyDescent="0.3">
      <c r="A53" s="2"/>
      <c r="B53" s="19" t="s">
        <v>75</v>
      </c>
      <c r="C53" s="7">
        <v>911.31</v>
      </c>
      <c r="D53" s="7">
        <v>2142.1799999999998</v>
      </c>
      <c r="E53" s="7">
        <v>526.62</v>
      </c>
      <c r="F53" s="7">
        <v>59.95</v>
      </c>
      <c r="G53" s="7">
        <v>1717.69</v>
      </c>
      <c r="H53" s="7">
        <v>59.95</v>
      </c>
      <c r="I53" s="7">
        <v>59.95</v>
      </c>
      <c r="J53" s="7">
        <v>74.94</v>
      </c>
      <c r="K53" s="7">
        <v>44.96</v>
      </c>
      <c r="L53" s="7">
        <v>59.95</v>
      </c>
      <c r="M53" s="7">
        <v>0</v>
      </c>
      <c r="N53" s="7">
        <v>0</v>
      </c>
      <c r="O53" s="7">
        <v>0</v>
      </c>
      <c r="P53" s="7">
        <v>0</v>
      </c>
      <c r="Q53" s="7">
        <v>0</v>
      </c>
      <c r="R53" s="7">
        <v>5657.5</v>
      </c>
    </row>
    <row r="54" spans="1:18" x14ac:dyDescent="0.3">
      <c r="A54" s="2"/>
      <c r="B54" s="19" t="s">
        <v>76</v>
      </c>
      <c r="C54" s="7">
        <v>454.92</v>
      </c>
      <c r="D54" s="7">
        <v>1056.8900000000001</v>
      </c>
      <c r="E54" s="7">
        <v>0</v>
      </c>
      <c r="F54" s="7">
        <v>132.31</v>
      </c>
      <c r="G54" s="7">
        <v>468.68</v>
      </c>
      <c r="H54" s="7">
        <v>-150.65</v>
      </c>
      <c r="I54" s="7">
        <v>0</v>
      </c>
      <c r="J54" s="7">
        <v>0</v>
      </c>
      <c r="K54" s="7">
        <v>0</v>
      </c>
      <c r="L54" s="7">
        <v>5319.74</v>
      </c>
      <c r="M54" s="7">
        <v>0</v>
      </c>
      <c r="N54" s="7">
        <v>0</v>
      </c>
      <c r="O54" s="7">
        <v>0</v>
      </c>
      <c r="P54" s="7">
        <v>0</v>
      </c>
      <c r="Q54" s="7">
        <v>0</v>
      </c>
      <c r="R54" s="7">
        <v>7281.89</v>
      </c>
    </row>
    <row r="55" spans="1:18" x14ac:dyDescent="0.3">
      <c r="A55" s="2"/>
      <c r="B55" s="19" t="s">
        <v>77</v>
      </c>
      <c r="C55" s="7">
        <v>591.05999999999995</v>
      </c>
      <c r="D55" s="7">
        <v>284.58999999999997</v>
      </c>
      <c r="E55" s="7">
        <v>1358.77</v>
      </c>
      <c r="F55" s="7">
        <v>118.74</v>
      </c>
      <c r="G55" s="7">
        <v>648.37</v>
      </c>
      <c r="H55" s="7">
        <v>0</v>
      </c>
      <c r="I55" s="7">
        <v>0</v>
      </c>
      <c r="J55" s="7">
        <v>0</v>
      </c>
      <c r="K55" s="7">
        <v>0</v>
      </c>
      <c r="L55" s="7">
        <v>0</v>
      </c>
      <c r="M55" s="7">
        <v>50</v>
      </c>
      <c r="N55" s="7">
        <v>0</v>
      </c>
      <c r="O55" s="7">
        <v>0</v>
      </c>
      <c r="P55" s="7">
        <v>0</v>
      </c>
      <c r="Q55" s="7">
        <v>0</v>
      </c>
      <c r="R55" s="7">
        <v>3051.53</v>
      </c>
    </row>
    <row r="56" spans="1:18" x14ac:dyDescent="0.3">
      <c r="A56" s="2"/>
      <c r="B56" s="19" t="s">
        <v>78</v>
      </c>
      <c r="C56" s="7">
        <v>176.29</v>
      </c>
      <c r="D56" s="7">
        <v>124.61</v>
      </c>
      <c r="E56" s="7">
        <v>0</v>
      </c>
      <c r="F56" s="7">
        <v>0</v>
      </c>
      <c r="G56" s="7">
        <v>162.25</v>
      </c>
      <c r="H56" s="7">
        <v>0</v>
      </c>
      <c r="I56" s="7">
        <v>0</v>
      </c>
      <c r="J56" s="7">
        <v>0</v>
      </c>
      <c r="K56" s="7">
        <v>25.33</v>
      </c>
      <c r="L56" s="7">
        <v>0</v>
      </c>
      <c r="M56" s="7">
        <v>0</v>
      </c>
      <c r="N56" s="7">
        <v>0</v>
      </c>
      <c r="O56" s="7">
        <v>0</v>
      </c>
      <c r="P56" s="7">
        <v>0</v>
      </c>
      <c r="Q56" s="7">
        <v>28.88</v>
      </c>
      <c r="R56" s="7">
        <v>517.36</v>
      </c>
    </row>
    <row r="57" spans="1:18" x14ac:dyDescent="0.3">
      <c r="A57" s="2"/>
      <c r="B57" s="19" t="s">
        <v>79</v>
      </c>
      <c r="C57" s="7">
        <v>0</v>
      </c>
      <c r="D57" s="7">
        <v>0</v>
      </c>
      <c r="E57" s="7">
        <v>0</v>
      </c>
      <c r="F57" s="7">
        <v>0</v>
      </c>
      <c r="G57" s="7">
        <v>0</v>
      </c>
      <c r="H57" s="7">
        <v>0</v>
      </c>
      <c r="I57" s="7">
        <v>0</v>
      </c>
      <c r="J57" s="7">
        <v>0</v>
      </c>
      <c r="K57" s="7">
        <v>0</v>
      </c>
      <c r="L57" s="7">
        <v>427.58</v>
      </c>
      <c r="M57" s="7">
        <v>0</v>
      </c>
      <c r="N57" s="7">
        <v>0</v>
      </c>
      <c r="O57" s="7">
        <v>0</v>
      </c>
      <c r="P57" s="7">
        <v>0</v>
      </c>
      <c r="Q57" s="7">
        <v>0</v>
      </c>
      <c r="R57" s="7">
        <v>427.58</v>
      </c>
    </row>
    <row r="58" spans="1:18" x14ac:dyDescent="0.3">
      <c r="A58" s="2"/>
      <c r="B58" s="19" t="s">
        <v>80</v>
      </c>
      <c r="C58" s="7">
        <v>0</v>
      </c>
      <c r="D58" s="7">
        <v>0</v>
      </c>
      <c r="E58" s="7">
        <v>0</v>
      </c>
      <c r="F58" s="7">
        <v>0</v>
      </c>
      <c r="G58" s="7">
        <v>0</v>
      </c>
      <c r="H58" s="7">
        <v>0</v>
      </c>
      <c r="I58" s="7">
        <v>0</v>
      </c>
      <c r="J58" s="7">
        <v>0</v>
      </c>
      <c r="K58" s="7">
        <v>0</v>
      </c>
      <c r="L58" s="7">
        <v>328.94</v>
      </c>
      <c r="M58" s="7">
        <v>0</v>
      </c>
      <c r="N58" s="7">
        <v>0</v>
      </c>
      <c r="O58" s="7">
        <v>0</v>
      </c>
      <c r="P58" s="7">
        <v>0</v>
      </c>
      <c r="Q58" s="7">
        <v>0</v>
      </c>
      <c r="R58" s="7">
        <v>328.94</v>
      </c>
    </row>
    <row r="59" spans="1:18" x14ac:dyDescent="0.3">
      <c r="A59" s="2"/>
      <c r="B59" s="19" t="s">
        <v>81</v>
      </c>
      <c r="C59" s="7">
        <v>0</v>
      </c>
      <c r="D59" s="7">
        <v>0</v>
      </c>
      <c r="E59" s="7">
        <v>0</v>
      </c>
      <c r="F59" s="7">
        <v>0</v>
      </c>
      <c r="G59" s="7">
        <v>0</v>
      </c>
      <c r="H59" s="7">
        <v>0</v>
      </c>
      <c r="I59" s="7">
        <v>0</v>
      </c>
      <c r="J59" s="7">
        <v>0</v>
      </c>
      <c r="K59" s="7">
        <v>0</v>
      </c>
      <c r="L59" s="7">
        <v>330.31</v>
      </c>
      <c r="M59" s="7">
        <v>0</v>
      </c>
      <c r="N59" s="7">
        <v>0</v>
      </c>
      <c r="O59" s="7">
        <v>0</v>
      </c>
      <c r="P59" s="7">
        <v>0</v>
      </c>
      <c r="Q59" s="7">
        <v>0</v>
      </c>
      <c r="R59" s="7">
        <v>330.31</v>
      </c>
    </row>
    <row r="60" spans="1:18" x14ac:dyDescent="0.3">
      <c r="A60" s="2"/>
      <c r="B60" s="20" t="s">
        <v>82</v>
      </c>
      <c r="C60" s="14">
        <v>2133.58</v>
      </c>
      <c r="D60" s="14">
        <v>3608.27</v>
      </c>
      <c r="E60" s="14">
        <v>1885.39</v>
      </c>
      <c r="F60" s="14">
        <v>311</v>
      </c>
      <c r="G60" s="14">
        <v>2996.99</v>
      </c>
      <c r="H60" s="14">
        <v>-90.7</v>
      </c>
      <c r="I60" s="14">
        <v>59.95</v>
      </c>
      <c r="J60" s="14">
        <v>74.94</v>
      </c>
      <c r="K60" s="14">
        <v>70.290000000000006</v>
      </c>
      <c r="L60" s="14">
        <v>6466.52</v>
      </c>
      <c r="M60" s="14">
        <v>50</v>
      </c>
      <c r="N60" s="14">
        <v>0</v>
      </c>
      <c r="O60" s="14">
        <v>0</v>
      </c>
      <c r="P60" s="14">
        <v>0</v>
      </c>
      <c r="Q60" s="14">
        <v>28.88</v>
      </c>
      <c r="R60" s="14">
        <v>17595.11</v>
      </c>
    </row>
    <row r="61" spans="1:18" x14ac:dyDescent="0.3">
      <c r="A61" s="2"/>
      <c r="B61" s="11" t="s">
        <v>83</v>
      </c>
      <c r="C61" s="7">
        <v>0</v>
      </c>
      <c r="D61" s="7">
        <v>0</v>
      </c>
      <c r="E61" s="7">
        <v>0</v>
      </c>
      <c r="F61" s="7">
        <v>0</v>
      </c>
      <c r="G61" s="7">
        <v>0</v>
      </c>
      <c r="H61" s="7">
        <v>0</v>
      </c>
      <c r="I61" s="7">
        <v>0</v>
      </c>
      <c r="J61" s="7">
        <v>0</v>
      </c>
      <c r="K61" s="7">
        <v>0</v>
      </c>
      <c r="L61" s="7">
        <v>0</v>
      </c>
      <c r="M61" s="7">
        <v>0</v>
      </c>
      <c r="N61" s="7">
        <v>0</v>
      </c>
      <c r="O61" s="7">
        <v>0</v>
      </c>
      <c r="P61" s="7">
        <v>0</v>
      </c>
      <c r="Q61" s="7">
        <v>0</v>
      </c>
      <c r="R61" s="7">
        <v>0</v>
      </c>
    </row>
    <row r="62" spans="1:18" x14ac:dyDescent="0.3">
      <c r="A62" s="2"/>
      <c r="B62" s="19" t="s">
        <v>84</v>
      </c>
      <c r="C62" s="7">
        <v>0</v>
      </c>
      <c r="D62" s="7">
        <v>0</v>
      </c>
      <c r="E62" s="7">
        <v>0</v>
      </c>
      <c r="F62" s="7">
        <v>1444.73</v>
      </c>
      <c r="G62" s="7">
        <v>0</v>
      </c>
      <c r="H62" s="7">
        <v>0</v>
      </c>
      <c r="I62" s="7">
        <v>507.96</v>
      </c>
      <c r="J62" s="7">
        <v>336.48</v>
      </c>
      <c r="K62" s="7">
        <v>1236.3699999999999</v>
      </c>
      <c r="L62" s="7">
        <v>774.97</v>
      </c>
      <c r="M62" s="7">
        <v>0</v>
      </c>
      <c r="N62" s="7">
        <v>829.66</v>
      </c>
      <c r="O62" s="7">
        <v>0</v>
      </c>
      <c r="P62" s="7">
        <v>0</v>
      </c>
      <c r="Q62" s="7">
        <v>0</v>
      </c>
      <c r="R62" s="7">
        <v>5130.17</v>
      </c>
    </row>
    <row r="63" spans="1:18" x14ac:dyDescent="0.3">
      <c r="A63" s="2"/>
      <c r="B63" s="19" t="s">
        <v>85</v>
      </c>
      <c r="C63" s="7">
        <v>0</v>
      </c>
      <c r="D63" s="7">
        <v>0</v>
      </c>
      <c r="E63" s="7">
        <v>0</v>
      </c>
      <c r="F63" s="7">
        <v>281</v>
      </c>
      <c r="G63" s="7">
        <v>0</v>
      </c>
      <c r="H63" s="7">
        <v>0</v>
      </c>
      <c r="I63" s="7">
        <v>367.47</v>
      </c>
      <c r="J63" s="7">
        <v>724.4</v>
      </c>
      <c r="K63" s="7">
        <v>151.63999999999999</v>
      </c>
      <c r="L63" s="7">
        <v>405.5</v>
      </c>
      <c r="M63" s="7">
        <v>0</v>
      </c>
      <c r="N63" s="7">
        <v>517.17999999999995</v>
      </c>
      <c r="O63" s="7">
        <v>763.03</v>
      </c>
      <c r="P63" s="7">
        <v>1072.21</v>
      </c>
      <c r="Q63" s="7">
        <v>373.04</v>
      </c>
      <c r="R63" s="7">
        <v>4655.47</v>
      </c>
    </row>
    <row r="64" spans="1:18" x14ac:dyDescent="0.3">
      <c r="A64" s="2"/>
      <c r="B64" s="19" t="s">
        <v>86</v>
      </c>
      <c r="C64" s="7">
        <v>0</v>
      </c>
      <c r="D64" s="7">
        <v>0</v>
      </c>
      <c r="E64" s="7">
        <v>0</v>
      </c>
      <c r="F64" s="7">
        <v>320.72000000000003</v>
      </c>
      <c r="G64" s="7">
        <v>95.35</v>
      </c>
      <c r="H64" s="7">
        <v>0</v>
      </c>
      <c r="I64" s="7">
        <v>366.03</v>
      </c>
      <c r="J64" s="7">
        <v>887.29</v>
      </c>
      <c r="K64" s="7">
        <v>176.24</v>
      </c>
      <c r="L64" s="7">
        <v>725.18</v>
      </c>
      <c r="M64" s="7">
        <v>0</v>
      </c>
      <c r="N64" s="7">
        <v>379.34</v>
      </c>
      <c r="O64" s="7">
        <v>469.15</v>
      </c>
      <c r="P64" s="7">
        <v>0</v>
      </c>
      <c r="Q64" s="7">
        <v>282.83999999999997</v>
      </c>
      <c r="R64" s="7">
        <v>3702.14</v>
      </c>
    </row>
    <row r="65" spans="1:18" x14ac:dyDescent="0.3">
      <c r="A65" s="2"/>
      <c r="B65" s="19" t="s">
        <v>87</v>
      </c>
      <c r="C65" s="7">
        <v>0</v>
      </c>
      <c r="D65" s="7">
        <v>0</v>
      </c>
      <c r="E65" s="7">
        <v>0</v>
      </c>
      <c r="F65" s="7">
        <v>143.26</v>
      </c>
      <c r="G65" s="7">
        <v>0</v>
      </c>
      <c r="H65" s="7">
        <v>0</v>
      </c>
      <c r="I65" s="7">
        <v>53.46</v>
      </c>
      <c r="J65" s="7">
        <v>138.58000000000001</v>
      </c>
      <c r="K65" s="7">
        <v>121.12</v>
      </c>
      <c r="L65" s="7">
        <v>62.33</v>
      </c>
      <c r="M65" s="7">
        <v>0</v>
      </c>
      <c r="N65" s="7">
        <v>129.97</v>
      </c>
      <c r="O65" s="7">
        <v>207.68</v>
      </c>
      <c r="P65" s="7">
        <v>0</v>
      </c>
      <c r="Q65" s="7">
        <v>41.5</v>
      </c>
      <c r="R65" s="7">
        <v>897.9</v>
      </c>
    </row>
    <row r="66" spans="1:18" x14ac:dyDescent="0.3">
      <c r="A66" s="2"/>
      <c r="B66" s="19" t="s">
        <v>88</v>
      </c>
      <c r="C66" s="7">
        <v>0</v>
      </c>
      <c r="D66" s="7">
        <v>0</v>
      </c>
      <c r="E66" s="7">
        <v>0</v>
      </c>
      <c r="F66" s="7">
        <v>0</v>
      </c>
      <c r="G66" s="7">
        <v>0</v>
      </c>
      <c r="H66" s="7">
        <v>0</v>
      </c>
      <c r="I66" s="7">
        <v>0</v>
      </c>
      <c r="J66" s="7">
        <v>0</v>
      </c>
      <c r="K66" s="7">
        <v>0</v>
      </c>
      <c r="L66" s="7">
        <v>335.83</v>
      </c>
      <c r="M66" s="7">
        <v>0</v>
      </c>
      <c r="N66" s="7">
        <v>0</v>
      </c>
      <c r="O66" s="7">
        <v>0</v>
      </c>
      <c r="P66" s="7">
        <v>0</v>
      </c>
      <c r="Q66" s="7">
        <v>0</v>
      </c>
      <c r="R66" s="7">
        <v>335.83</v>
      </c>
    </row>
    <row r="67" spans="1:18" x14ac:dyDescent="0.3">
      <c r="A67" s="2"/>
      <c r="B67" s="20" t="s">
        <v>89</v>
      </c>
      <c r="C67" s="14">
        <v>0</v>
      </c>
      <c r="D67" s="14">
        <v>0</v>
      </c>
      <c r="E67" s="14">
        <v>0</v>
      </c>
      <c r="F67" s="14">
        <v>2189.71</v>
      </c>
      <c r="G67" s="14">
        <v>95.35</v>
      </c>
      <c r="H67" s="14">
        <v>0</v>
      </c>
      <c r="I67" s="14">
        <v>1294.92</v>
      </c>
      <c r="J67" s="14">
        <v>2086.75</v>
      </c>
      <c r="K67" s="14">
        <v>1685.37</v>
      </c>
      <c r="L67" s="14">
        <v>2303.81</v>
      </c>
      <c r="M67" s="14">
        <v>0</v>
      </c>
      <c r="N67" s="14">
        <v>1856.15</v>
      </c>
      <c r="O67" s="14">
        <v>1439.86</v>
      </c>
      <c r="P67" s="14">
        <v>1072.21</v>
      </c>
      <c r="Q67" s="14">
        <v>697.38</v>
      </c>
      <c r="R67" s="14">
        <v>14721.51</v>
      </c>
    </row>
    <row r="68" spans="1:18" x14ac:dyDescent="0.3">
      <c r="A68" s="2"/>
      <c r="B68" s="11" t="s">
        <v>90</v>
      </c>
      <c r="C68" s="7">
        <v>0</v>
      </c>
      <c r="D68" s="7">
        <v>0</v>
      </c>
      <c r="E68" s="7">
        <v>0</v>
      </c>
      <c r="F68" s="7">
        <v>0</v>
      </c>
      <c r="G68" s="7">
        <v>0</v>
      </c>
      <c r="H68" s="7">
        <v>0</v>
      </c>
      <c r="I68" s="7">
        <v>0</v>
      </c>
      <c r="J68" s="7">
        <v>0</v>
      </c>
      <c r="K68" s="7">
        <v>0</v>
      </c>
      <c r="L68" s="7">
        <v>0</v>
      </c>
      <c r="M68" s="7">
        <v>0</v>
      </c>
      <c r="N68" s="7">
        <v>0</v>
      </c>
      <c r="O68" s="7">
        <v>0</v>
      </c>
      <c r="P68" s="7">
        <v>0</v>
      </c>
      <c r="Q68" s="7">
        <v>0</v>
      </c>
      <c r="R68" s="7">
        <v>0</v>
      </c>
    </row>
    <row r="69" spans="1:18" x14ac:dyDescent="0.3">
      <c r="A69" s="2"/>
      <c r="B69" s="19" t="s">
        <v>91</v>
      </c>
      <c r="C69" s="7">
        <v>0</v>
      </c>
      <c r="D69" s="7">
        <v>459.83</v>
      </c>
      <c r="E69" s="7">
        <v>484.96</v>
      </c>
      <c r="F69" s="7">
        <v>0</v>
      </c>
      <c r="G69" s="7">
        <v>200.72</v>
      </c>
      <c r="H69" s="7">
        <v>4124.99</v>
      </c>
      <c r="I69" s="7">
        <v>0</v>
      </c>
      <c r="J69" s="7">
        <v>299.48</v>
      </c>
      <c r="K69" s="7">
        <v>0</v>
      </c>
      <c r="L69" s="7">
        <v>0</v>
      </c>
      <c r="M69" s="7">
        <v>0</v>
      </c>
      <c r="N69" s="7">
        <v>0</v>
      </c>
      <c r="O69" s="7">
        <v>0</v>
      </c>
      <c r="P69" s="7">
        <v>1118.3499999999999</v>
      </c>
      <c r="Q69" s="7">
        <v>907.7</v>
      </c>
      <c r="R69" s="7">
        <v>7596.03</v>
      </c>
    </row>
    <row r="70" spans="1:18" x14ac:dyDescent="0.3">
      <c r="A70" s="2"/>
      <c r="B70" s="19" t="s">
        <v>92</v>
      </c>
      <c r="C70" s="7">
        <v>1131.44</v>
      </c>
      <c r="D70" s="7">
        <v>1021.52</v>
      </c>
      <c r="E70" s="7">
        <v>0</v>
      </c>
      <c r="F70" s="7">
        <v>0</v>
      </c>
      <c r="G70" s="7">
        <v>0</v>
      </c>
      <c r="H70" s="7">
        <v>206.38</v>
      </c>
      <c r="I70" s="7">
        <v>2696.3</v>
      </c>
      <c r="J70" s="7">
        <v>28.55</v>
      </c>
      <c r="K70" s="7">
        <v>523.27</v>
      </c>
      <c r="L70" s="7">
        <v>569.48</v>
      </c>
      <c r="M70" s="7">
        <v>1533.24</v>
      </c>
      <c r="N70" s="7">
        <v>362</v>
      </c>
      <c r="O70" s="7">
        <v>260</v>
      </c>
      <c r="P70" s="7">
        <v>3171</v>
      </c>
      <c r="Q70" s="7">
        <v>587.16</v>
      </c>
      <c r="R70" s="7">
        <v>12090.34</v>
      </c>
    </row>
    <row r="71" spans="1:18" x14ac:dyDescent="0.3">
      <c r="A71" s="2"/>
      <c r="B71" s="19" t="s">
        <v>93</v>
      </c>
      <c r="C71" s="7">
        <v>12.45</v>
      </c>
      <c r="D71" s="7">
        <v>93.39</v>
      </c>
      <c r="E71" s="7">
        <v>0</v>
      </c>
      <c r="F71" s="7">
        <v>30.99</v>
      </c>
      <c r="G71" s="7">
        <v>0</v>
      </c>
      <c r="H71" s="7">
        <v>610.74</v>
      </c>
      <c r="I71" s="7">
        <v>395.44</v>
      </c>
      <c r="J71" s="7">
        <v>0</v>
      </c>
      <c r="K71" s="7">
        <v>203.97</v>
      </c>
      <c r="L71" s="7">
        <v>395.71</v>
      </c>
      <c r="M71" s="7">
        <v>118.16</v>
      </c>
      <c r="N71" s="7">
        <v>0</v>
      </c>
      <c r="O71" s="7">
        <v>0</v>
      </c>
      <c r="P71" s="7">
        <v>0</v>
      </c>
      <c r="Q71" s="7">
        <v>526.75</v>
      </c>
      <c r="R71" s="7">
        <v>2387.6</v>
      </c>
    </row>
    <row r="72" spans="1:18" x14ac:dyDescent="0.3">
      <c r="A72" s="2"/>
      <c r="B72" s="19" t="s">
        <v>94</v>
      </c>
      <c r="C72" s="7">
        <v>0</v>
      </c>
      <c r="D72" s="7">
        <v>0</v>
      </c>
      <c r="E72" s="7">
        <v>454.86</v>
      </c>
      <c r="F72" s="7">
        <v>576.42999999999995</v>
      </c>
      <c r="G72" s="7">
        <v>0</v>
      </c>
      <c r="H72" s="7">
        <v>206.02</v>
      </c>
      <c r="I72" s="7">
        <v>142.99</v>
      </c>
      <c r="J72" s="7">
        <v>27.89</v>
      </c>
      <c r="K72" s="7">
        <v>83.55</v>
      </c>
      <c r="L72" s="7">
        <v>70.75</v>
      </c>
      <c r="M72" s="7">
        <v>65.77</v>
      </c>
      <c r="N72" s="7">
        <v>0</v>
      </c>
      <c r="O72" s="7">
        <v>0</v>
      </c>
      <c r="P72" s="7">
        <v>290.51</v>
      </c>
      <c r="Q72" s="7">
        <v>211.62</v>
      </c>
      <c r="R72" s="7">
        <v>2130.39</v>
      </c>
    </row>
    <row r="73" spans="1:18" x14ac:dyDescent="0.3">
      <c r="A73" s="2"/>
      <c r="B73" s="19" t="s">
        <v>95</v>
      </c>
      <c r="C73" s="7">
        <v>700</v>
      </c>
      <c r="D73" s="7">
        <v>595</v>
      </c>
      <c r="E73" s="7">
        <v>0</v>
      </c>
      <c r="F73" s="7">
        <v>850</v>
      </c>
      <c r="G73" s="7">
        <v>200</v>
      </c>
      <c r="H73" s="7">
        <v>3590.62</v>
      </c>
      <c r="I73" s="7">
        <v>0</v>
      </c>
      <c r="J73" s="7">
        <v>545</v>
      </c>
      <c r="K73" s="7">
        <v>675</v>
      </c>
      <c r="L73" s="7">
        <v>0</v>
      </c>
      <c r="M73" s="7">
        <v>0</v>
      </c>
      <c r="N73" s="7">
        <v>0</v>
      </c>
      <c r="O73" s="7">
        <v>0</v>
      </c>
      <c r="P73" s="7">
        <v>1595</v>
      </c>
      <c r="Q73" s="7">
        <v>2170</v>
      </c>
      <c r="R73" s="7">
        <v>10920.62</v>
      </c>
    </row>
    <row r="74" spans="1:18" x14ac:dyDescent="0.3">
      <c r="A74" s="2"/>
      <c r="B74" s="19" t="s">
        <v>96</v>
      </c>
      <c r="C74" s="7">
        <v>0</v>
      </c>
      <c r="D74" s="7">
        <v>0</v>
      </c>
      <c r="E74" s="7">
        <v>0</v>
      </c>
      <c r="F74" s="7">
        <v>0</v>
      </c>
      <c r="G74" s="7">
        <v>0</v>
      </c>
      <c r="H74" s="7">
        <v>0</v>
      </c>
      <c r="I74" s="7">
        <v>32.92</v>
      </c>
      <c r="J74" s="7">
        <v>0</v>
      </c>
      <c r="K74" s="7">
        <v>45.28</v>
      </c>
      <c r="L74" s="7">
        <v>0</v>
      </c>
      <c r="M74" s="7">
        <v>0</v>
      </c>
      <c r="N74" s="7">
        <v>0</v>
      </c>
      <c r="O74" s="7">
        <v>0</v>
      </c>
      <c r="P74" s="7">
        <v>0</v>
      </c>
      <c r="Q74" s="7">
        <v>0</v>
      </c>
      <c r="R74" s="7">
        <v>78.2</v>
      </c>
    </row>
    <row r="75" spans="1:18" x14ac:dyDescent="0.3">
      <c r="A75" s="2"/>
      <c r="B75" s="20" t="s">
        <v>97</v>
      </c>
      <c r="C75" s="14">
        <v>1843.89</v>
      </c>
      <c r="D75" s="14">
        <v>2169.7399999999998</v>
      </c>
      <c r="E75" s="14">
        <v>939.82</v>
      </c>
      <c r="F75" s="14">
        <v>1457.42</v>
      </c>
      <c r="G75" s="14">
        <v>400.72</v>
      </c>
      <c r="H75" s="14">
        <v>8738.75</v>
      </c>
      <c r="I75" s="14">
        <v>3267.65</v>
      </c>
      <c r="J75" s="14">
        <v>900.92</v>
      </c>
      <c r="K75" s="14">
        <v>1531.07</v>
      </c>
      <c r="L75" s="14">
        <v>1035.94</v>
      </c>
      <c r="M75" s="14">
        <v>1717.17</v>
      </c>
      <c r="N75" s="14">
        <v>362</v>
      </c>
      <c r="O75" s="14">
        <v>260</v>
      </c>
      <c r="P75" s="14">
        <v>6174.86</v>
      </c>
      <c r="Q75" s="14">
        <v>4403.2299999999996</v>
      </c>
      <c r="R75" s="14">
        <v>35203.18</v>
      </c>
    </row>
    <row r="76" spans="1:18" x14ac:dyDescent="0.3">
      <c r="A76" s="2"/>
      <c r="B76" s="11" t="s">
        <v>98</v>
      </c>
      <c r="C76" s="7">
        <v>0</v>
      </c>
      <c r="D76" s="7">
        <v>0</v>
      </c>
      <c r="E76" s="7">
        <v>0</v>
      </c>
      <c r="F76" s="7">
        <v>0</v>
      </c>
      <c r="G76" s="7">
        <v>0</v>
      </c>
      <c r="H76" s="7">
        <v>0</v>
      </c>
      <c r="I76" s="7">
        <v>0</v>
      </c>
      <c r="J76" s="7">
        <v>0</v>
      </c>
      <c r="K76" s="7">
        <v>0</v>
      </c>
      <c r="L76" s="7">
        <v>0</v>
      </c>
      <c r="M76" s="7">
        <v>0</v>
      </c>
      <c r="N76" s="7">
        <v>0</v>
      </c>
      <c r="O76" s="7">
        <v>0</v>
      </c>
      <c r="P76" s="7">
        <v>0</v>
      </c>
      <c r="Q76" s="7">
        <v>0</v>
      </c>
      <c r="R76" s="7">
        <v>0</v>
      </c>
    </row>
    <row r="77" spans="1:18" x14ac:dyDescent="0.3">
      <c r="A77" s="2"/>
      <c r="B77" s="19" t="s">
        <v>99</v>
      </c>
      <c r="C77" s="7">
        <v>729.8</v>
      </c>
      <c r="D77" s="7">
        <v>355.23</v>
      </c>
      <c r="E77" s="7">
        <v>5632.45</v>
      </c>
      <c r="F77" s="7">
        <v>538.52</v>
      </c>
      <c r="G77" s="7">
        <v>1310.6300000000001</v>
      </c>
      <c r="H77" s="7">
        <v>886.66</v>
      </c>
      <c r="I77" s="7">
        <v>3060.92</v>
      </c>
      <c r="J77" s="7">
        <v>4315.1000000000004</v>
      </c>
      <c r="K77" s="7">
        <v>196.75</v>
      </c>
      <c r="L77" s="7">
        <v>1390.07</v>
      </c>
      <c r="M77" s="7">
        <v>2140.91</v>
      </c>
      <c r="N77" s="7">
        <v>1846.24</v>
      </c>
      <c r="O77" s="7">
        <v>1398.99</v>
      </c>
      <c r="P77" s="7">
        <v>2711.4</v>
      </c>
      <c r="Q77" s="7">
        <v>2490.19</v>
      </c>
      <c r="R77" s="7">
        <v>29003.86</v>
      </c>
    </row>
    <row r="78" spans="1:18" x14ac:dyDescent="0.3">
      <c r="A78" s="2"/>
      <c r="B78" s="19" t="s">
        <v>100</v>
      </c>
      <c r="C78" s="7">
        <v>0</v>
      </c>
      <c r="D78" s="7">
        <v>0</v>
      </c>
      <c r="E78" s="7">
        <v>0</v>
      </c>
      <c r="F78" s="7">
        <v>0</v>
      </c>
      <c r="G78" s="7">
        <v>1282.94</v>
      </c>
      <c r="H78" s="7">
        <v>0</v>
      </c>
      <c r="I78" s="7">
        <v>0</v>
      </c>
      <c r="J78" s="7">
        <v>0</v>
      </c>
      <c r="K78" s="7">
        <v>0</v>
      </c>
      <c r="L78" s="7">
        <v>0</v>
      </c>
      <c r="M78" s="7">
        <v>224.85</v>
      </c>
      <c r="N78" s="7">
        <v>162.44999999999999</v>
      </c>
      <c r="O78" s="7">
        <v>0</v>
      </c>
      <c r="P78" s="7">
        <v>0</v>
      </c>
      <c r="Q78" s="7">
        <v>49.95</v>
      </c>
      <c r="R78" s="7">
        <v>1720.19</v>
      </c>
    </row>
    <row r="79" spans="1:18" x14ac:dyDescent="0.3">
      <c r="A79" s="2"/>
      <c r="B79" s="19" t="s">
        <v>101</v>
      </c>
      <c r="C79" s="7">
        <v>790</v>
      </c>
      <c r="D79" s="7">
        <v>39.99</v>
      </c>
      <c r="E79" s="7">
        <v>27.5</v>
      </c>
      <c r="F79" s="7">
        <v>40.15</v>
      </c>
      <c r="G79" s="7">
        <v>26.19</v>
      </c>
      <c r="H79" s="7">
        <v>10.45</v>
      </c>
      <c r="I79" s="7">
        <v>230.3</v>
      </c>
      <c r="J79" s="7">
        <v>15.15</v>
      </c>
      <c r="K79" s="7">
        <v>10.6</v>
      </c>
      <c r="L79" s="7">
        <v>40</v>
      </c>
      <c r="M79" s="7">
        <v>7.41</v>
      </c>
      <c r="N79" s="7">
        <v>26.2</v>
      </c>
      <c r="O79" s="7">
        <v>821.35</v>
      </c>
      <c r="P79" s="7">
        <v>27.4</v>
      </c>
      <c r="Q79" s="7">
        <v>25.75</v>
      </c>
      <c r="R79" s="7">
        <v>2138.44</v>
      </c>
    </row>
    <row r="80" spans="1:18" x14ac:dyDescent="0.3">
      <c r="A80" s="2"/>
      <c r="B80" s="19" t="s">
        <v>102</v>
      </c>
      <c r="C80" s="7">
        <v>556.6</v>
      </c>
      <c r="D80" s="7">
        <v>495</v>
      </c>
      <c r="E80" s="7">
        <v>595.04999999999995</v>
      </c>
      <c r="F80" s="7">
        <v>495</v>
      </c>
      <c r="G80" s="7">
        <v>534.44000000000005</v>
      </c>
      <c r="H80" s="7">
        <v>450</v>
      </c>
      <c r="I80" s="7">
        <v>560</v>
      </c>
      <c r="J80" s="7">
        <v>90.12</v>
      </c>
      <c r="K80" s="7">
        <v>540</v>
      </c>
      <c r="L80" s="7">
        <v>495</v>
      </c>
      <c r="M80" s="7">
        <v>566.52</v>
      </c>
      <c r="N80" s="7">
        <v>1915</v>
      </c>
      <c r="O80" s="7">
        <v>0</v>
      </c>
      <c r="P80" s="7">
        <v>0</v>
      </c>
      <c r="Q80" s="7">
        <v>0</v>
      </c>
      <c r="R80" s="7">
        <v>7292.73</v>
      </c>
    </row>
    <row r="81" spans="1:18" x14ac:dyDescent="0.3">
      <c r="A81" s="2"/>
      <c r="B81" s="19" t="s">
        <v>103</v>
      </c>
      <c r="C81" s="7">
        <v>0</v>
      </c>
      <c r="D81" s="7">
        <v>195</v>
      </c>
      <c r="E81" s="7">
        <v>180</v>
      </c>
      <c r="F81" s="7">
        <v>0</v>
      </c>
      <c r="G81" s="7">
        <v>997</v>
      </c>
      <c r="H81" s="7">
        <v>0</v>
      </c>
      <c r="I81" s="7">
        <v>0</v>
      </c>
      <c r="J81" s="7">
        <v>0</v>
      </c>
      <c r="K81" s="7">
        <v>0</v>
      </c>
      <c r="L81" s="7">
        <v>0</v>
      </c>
      <c r="M81" s="7">
        <v>160</v>
      </c>
      <c r="N81" s="7">
        <v>515</v>
      </c>
      <c r="O81" s="7">
        <v>0</v>
      </c>
      <c r="P81" s="7">
        <v>0</v>
      </c>
      <c r="Q81" s="7">
        <v>500</v>
      </c>
      <c r="R81" s="7">
        <v>2547</v>
      </c>
    </row>
    <row r="82" spans="1:18" x14ac:dyDescent="0.3">
      <c r="A82" s="2"/>
      <c r="B82" s="19" t="s">
        <v>104</v>
      </c>
      <c r="C82" s="7">
        <v>0</v>
      </c>
      <c r="D82" s="7">
        <v>0</v>
      </c>
      <c r="E82" s="7">
        <v>0</v>
      </c>
      <c r="F82" s="7">
        <v>0</v>
      </c>
      <c r="G82" s="7">
        <v>321.73</v>
      </c>
      <c r="H82" s="7">
        <v>0</v>
      </c>
      <c r="I82" s="7">
        <v>0</v>
      </c>
      <c r="J82" s="7">
        <v>0</v>
      </c>
      <c r="K82" s="7">
        <v>0</v>
      </c>
      <c r="L82" s="7">
        <v>1281.79</v>
      </c>
      <c r="M82" s="7">
        <v>0</v>
      </c>
      <c r="N82" s="7">
        <v>0</v>
      </c>
      <c r="O82" s="7">
        <v>0</v>
      </c>
      <c r="P82" s="7">
        <v>0</v>
      </c>
      <c r="Q82" s="7">
        <v>0</v>
      </c>
      <c r="R82" s="7">
        <v>1603.52</v>
      </c>
    </row>
    <row r="83" spans="1:18" x14ac:dyDescent="0.3">
      <c r="A83" s="2"/>
      <c r="B83" s="19" t="s">
        <v>105</v>
      </c>
      <c r="C83" s="7">
        <v>342.67</v>
      </c>
      <c r="D83" s="7">
        <v>8.65</v>
      </c>
      <c r="E83" s="7">
        <v>181.35</v>
      </c>
      <c r="F83" s="7">
        <v>199.93</v>
      </c>
      <c r="G83" s="7">
        <v>41.23</v>
      </c>
      <c r="H83" s="7">
        <v>54.8</v>
      </c>
      <c r="I83" s="7">
        <v>22.73</v>
      </c>
      <c r="J83" s="7">
        <v>22.45</v>
      </c>
      <c r="K83" s="7">
        <v>492.62</v>
      </c>
      <c r="L83" s="7">
        <v>0</v>
      </c>
      <c r="M83" s="7">
        <v>160.9</v>
      </c>
      <c r="N83" s="7">
        <v>23.45</v>
      </c>
      <c r="O83" s="7">
        <v>0</v>
      </c>
      <c r="P83" s="7">
        <v>40.86</v>
      </c>
      <c r="Q83" s="7">
        <v>0</v>
      </c>
      <c r="R83" s="7">
        <v>1591.64</v>
      </c>
    </row>
    <row r="84" spans="1:18" x14ac:dyDescent="0.3">
      <c r="A84" s="2"/>
      <c r="B84" s="19" t="s">
        <v>106</v>
      </c>
      <c r="C84" s="7">
        <v>0</v>
      </c>
      <c r="D84" s="7">
        <v>0</v>
      </c>
      <c r="E84" s="7">
        <v>0</v>
      </c>
      <c r="F84" s="7">
        <v>0</v>
      </c>
      <c r="G84" s="7">
        <v>45.38</v>
      </c>
      <c r="H84" s="7">
        <v>425.7</v>
      </c>
      <c r="I84" s="7">
        <v>0</v>
      </c>
      <c r="J84" s="7">
        <v>0</v>
      </c>
      <c r="K84" s="7">
        <v>0</v>
      </c>
      <c r="L84" s="7">
        <v>49.6</v>
      </c>
      <c r="M84" s="7">
        <v>0</v>
      </c>
      <c r="N84" s="7">
        <v>235.59</v>
      </c>
      <c r="O84" s="7">
        <v>0</v>
      </c>
      <c r="P84" s="7">
        <v>0</v>
      </c>
      <c r="Q84" s="7">
        <v>0</v>
      </c>
      <c r="R84" s="7">
        <v>756.27</v>
      </c>
    </row>
    <row r="85" spans="1:18" x14ac:dyDescent="0.3">
      <c r="A85" s="2"/>
      <c r="B85" s="19" t="s">
        <v>107</v>
      </c>
      <c r="C85" s="7">
        <v>0</v>
      </c>
      <c r="D85" s="7">
        <v>0</v>
      </c>
      <c r="E85" s="7">
        <v>0</v>
      </c>
      <c r="F85" s="7">
        <v>0</v>
      </c>
      <c r="G85" s="7">
        <v>0</v>
      </c>
      <c r="H85" s="7">
        <v>25</v>
      </c>
      <c r="I85" s="7">
        <v>0</v>
      </c>
      <c r="J85" s="7">
        <v>0</v>
      </c>
      <c r="K85" s="7">
        <v>0</v>
      </c>
      <c r="L85" s="7">
        <v>0</v>
      </c>
      <c r="M85" s="7">
        <v>0</v>
      </c>
      <c r="N85" s="7">
        <v>0</v>
      </c>
      <c r="O85" s="7">
        <v>0</v>
      </c>
      <c r="P85" s="7">
        <v>0</v>
      </c>
      <c r="Q85" s="7">
        <v>0</v>
      </c>
      <c r="R85" s="7">
        <v>25</v>
      </c>
    </row>
    <row r="86" spans="1:18" x14ac:dyDescent="0.3">
      <c r="A86" s="2"/>
      <c r="B86" s="19" t="s">
        <v>108</v>
      </c>
      <c r="C86" s="7">
        <v>0</v>
      </c>
      <c r="D86" s="7">
        <v>0</v>
      </c>
      <c r="E86" s="7">
        <v>346.68</v>
      </c>
      <c r="F86" s="7">
        <v>0</v>
      </c>
      <c r="G86" s="7">
        <v>232.12</v>
      </c>
      <c r="H86" s="7">
        <v>0</v>
      </c>
      <c r="I86" s="7">
        <v>0</v>
      </c>
      <c r="J86" s="7">
        <v>116.1</v>
      </c>
      <c r="K86" s="7">
        <v>0</v>
      </c>
      <c r="L86" s="7">
        <v>0</v>
      </c>
      <c r="M86" s="7">
        <v>0</v>
      </c>
      <c r="N86" s="7">
        <v>0</v>
      </c>
      <c r="O86" s="7">
        <v>0</v>
      </c>
      <c r="P86" s="7">
        <v>0</v>
      </c>
      <c r="Q86" s="7">
        <v>0</v>
      </c>
      <c r="R86" s="7">
        <v>694.9</v>
      </c>
    </row>
    <row r="87" spans="1:18" x14ac:dyDescent="0.3">
      <c r="A87" s="2"/>
      <c r="B87" s="19" t="s">
        <v>109</v>
      </c>
      <c r="C87" s="7">
        <v>0</v>
      </c>
      <c r="D87" s="7">
        <v>0</v>
      </c>
      <c r="E87" s="7">
        <v>0</v>
      </c>
      <c r="F87" s="7">
        <v>0</v>
      </c>
      <c r="G87" s="7">
        <v>0</v>
      </c>
      <c r="H87" s="7">
        <v>299</v>
      </c>
      <c r="I87" s="7">
        <v>0</v>
      </c>
      <c r="J87" s="7">
        <v>0</v>
      </c>
      <c r="K87" s="7">
        <v>0</v>
      </c>
      <c r="L87" s="7">
        <v>0</v>
      </c>
      <c r="M87" s="7">
        <v>0</v>
      </c>
      <c r="N87" s="7">
        <v>200</v>
      </c>
      <c r="O87" s="7">
        <v>0</v>
      </c>
      <c r="P87" s="7">
        <v>0</v>
      </c>
      <c r="Q87" s="7">
        <v>0</v>
      </c>
      <c r="R87" s="7">
        <v>499</v>
      </c>
    </row>
    <row r="88" spans="1:18" x14ac:dyDescent="0.3">
      <c r="A88" s="2"/>
      <c r="B88" s="19" t="s">
        <v>110</v>
      </c>
      <c r="C88" s="7">
        <v>-260.79000000000002</v>
      </c>
      <c r="D88" s="7">
        <v>29.23</v>
      </c>
      <c r="E88" s="7">
        <v>23.02</v>
      </c>
      <c r="F88" s="7">
        <v>54.27</v>
      </c>
      <c r="G88" s="7">
        <v>500.52</v>
      </c>
      <c r="H88" s="7">
        <v>16.03</v>
      </c>
      <c r="I88" s="7">
        <v>37.97</v>
      </c>
      <c r="J88" s="7">
        <v>-11.95</v>
      </c>
      <c r="K88" s="7">
        <v>13.05</v>
      </c>
      <c r="L88" s="7">
        <v>29.3</v>
      </c>
      <c r="M88" s="7">
        <v>52.5</v>
      </c>
      <c r="N88" s="7">
        <v>6600.55</v>
      </c>
      <c r="O88" s="7">
        <v>8.0500000000000007</v>
      </c>
      <c r="P88" s="7">
        <v>62.64</v>
      </c>
      <c r="Q88" s="7">
        <v>280.55</v>
      </c>
      <c r="R88" s="7">
        <v>7434.94</v>
      </c>
    </row>
    <row r="89" spans="1:18" x14ac:dyDescent="0.3">
      <c r="A89" s="2"/>
      <c r="B89" s="20" t="s">
        <v>111</v>
      </c>
      <c r="C89" s="14">
        <v>2158.2800000000002</v>
      </c>
      <c r="D89" s="14">
        <v>1123.0999999999999</v>
      </c>
      <c r="E89" s="14">
        <v>6986.05</v>
      </c>
      <c r="F89" s="14">
        <v>1327.87</v>
      </c>
      <c r="G89" s="14">
        <v>5292.18</v>
      </c>
      <c r="H89" s="14">
        <v>2167.64</v>
      </c>
      <c r="I89" s="14">
        <v>3911.92</v>
      </c>
      <c r="J89" s="14">
        <v>4546.97</v>
      </c>
      <c r="K89" s="14">
        <v>1253.02</v>
      </c>
      <c r="L89" s="14">
        <v>3285.76</v>
      </c>
      <c r="M89" s="14">
        <v>3313.09</v>
      </c>
      <c r="N89" s="14">
        <v>11524.48</v>
      </c>
      <c r="O89" s="14">
        <v>2228.39</v>
      </c>
      <c r="P89" s="14">
        <v>2842.3</v>
      </c>
      <c r="Q89" s="14">
        <v>3346.44</v>
      </c>
      <c r="R89" s="14">
        <v>55307.49</v>
      </c>
    </row>
    <row r="90" spans="1:18" x14ac:dyDescent="0.3">
      <c r="A90" s="2"/>
      <c r="B90" s="11" t="s">
        <v>112</v>
      </c>
      <c r="C90" s="7">
        <v>0</v>
      </c>
      <c r="D90" s="7">
        <v>0</v>
      </c>
      <c r="E90" s="7">
        <v>0</v>
      </c>
      <c r="F90" s="7">
        <v>0</v>
      </c>
      <c r="G90" s="7">
        <v>0</v>
      </c>
      <c r="H90" s="7">
        <v>0</v>
      </c>
      <c r="I90" s="7">
        <v>0</v>
      </c>
      <c r="J90" s="7">
        <v>0</v>
      </c>
      <c r="K90" s="7">
        <v>0</v>
      </c>
      <c r="L90" s="7">
        <v>0</v>
      </c>
      <c r="M90" s="7">
        <v>0</v>
      </c>
      <c r="N90" s="7">
        <v>0</v>
      </c>
      <c r="O90" s="7">
        <v>0</v>
      </c>
      <c r="P90" s="7">
        <v>0</v>
      </c>
      <c r="Q90" s="7">
        <v>0</v>
      </c>
      <c r="R90" s="7">
        <v>0</v>
      </c>
    </row>
    <row r="91" spans="1:18" x14ac:dyDescent="0.3">
      <c r="A91" s="2"/>
      <c r="B91" s="19" t="s">
        <v>113</v>
      </c>
      <c r="C91" s="7">
        <v>0</v>
      </c>
      <c r="D91" s="7">
        <v>0</v>
      </c>
      <c r="E91" s="7">
        <v>0</v>
      </c>
      <c r="F91" s="7">
        <v>0</v>
      </c>
      <c r="G91" s="7">
        <v>0</v>
      </c>
      <c r="H91" s="7">
        <v>0</v>
      </c>
      <c r="I91" s="7">
        <v>0</v>
      </c>
      <c r="J91" s="7">
        <v>0</v>
      </c>
      <c r="K91" s="7">
        <v>0</v>
      </c>
      <c r="L91" s="7">
        <v>3988.23</v>
      </c>
      <c r="M91" s="7">
        <v>0</v>
      </c>
      <c r="N91" s="7">
        <v>500</v>
      </c>
      <c r="O91" s="7">
        <v>713.61</v>
      </c>
      <c r="P91" s="7">
        <v>713.61</v>
      </c>
      <c r="Q91" s="7">
        <v>713.61</v>
      </c>
      <c r="R91" s="7">
        <v>6629.06</v>
      </c>
    </row>
    <row r="92" spans="1:18" x14ac:dyDescent="0.3">
      <c r="A92" s="2"/>
      <c r="B92" s="19" t="s">
        <v>114</v>
      </c>
      <c r="C92" s="7">
        <v>0</v>
      </c>
      <c r="D92" s="7">
        <v>0</v>
      </c>
      <c r="E92" s="7">
        <v>0</v>
      </c>
      <c r="F92" s="7">
        <v>0</v>
      </c>
      <c r="G92" s="7">
        <v>0</v>
      </c>
      <c r="H92" s="7">
        <v>755.75</v>
      </c>
      <c r="I92" s="7">
        <v>0</v>
      </c>
      <c r="J92" s="7">
        <v>0</v>
      </c>
      <c r="K92" s="7">
        <v>755.75</v>
      </c>
      <c r="L92" s="7">
        <v>755.75</v>
      </c>
      <c r="M92" s="7">
        <v>0</v>
      </c>
      <c r="N92" s="7">
        <v>0</v>
      </c>
      <c r="O92" s="7">
        <v>0</v>
      </c>
      <c r="P92" s="7">
        <v>0</v>
      </c>
      <c r="Q92" s="7">
        <v>755.75</v>
      </c>
      <c r="R92" s="7">
        <v>3023</v>
      </c>
    </row>
    <row r="93" spans="1:18" x14ac:dyDescent="0.3">
      <c r="A93" s="2"/>
      <c r="B93" s="20" t="s">
        <v>115</v>
      </c>
      <c r="C93" s="14">
        <v>0</v>
      </c>
      <c r="D93" s="14">
        <v>0</v>
      </c>
      <c r="E93" s="14">
        <v>0</v>
      </c>
      <c r="F93" s="14">
        <v>0</v>
      </c>
      <c r="G93" s="14">
        <v>0</v>
      </c>
      <c r="H93" s="14">
        <v>755.75</v>
      </c>
      <c r="I93" s="14">
        <v>0</v>
      </c>
      <c r="J93" s="14">
        <v>0</v>
      </c>
      <c r="K93" s="14">
        <v>755.75</v>
      </c>
      <c r="L93" s="14">
        <v>4743.9799999999996</v>
      </c>
      <c r="M93" s="14">
        <v>0</v>
      </c>
      <c r="N93" s="14">
        <v>500</v>
      </c>
      <c r="O93" s="14">
        <v>713.61</v>
      </c>
      <c r="P93" s="14">
        <v>713.61</v>
      </c>
      <c r="Q93" s="14">
        <v>1469.36</v>
      </c>
      <c r="R93" s="14">
        <v>9652.06</v>
      </c>
    </row>
    <row r="94" spans="1:18" x14ac:dyDescent="0.3">
      <c r="A94" s="2"/>
      <c r="B94" s="11" t="s">
        <v>116</v>
      </c>
      <c r="C94" s="7">
        <v>0</v>
      </c>
      <c r="D94" s="7">
        <v>0</v>
      </c>
      <c r="E94" s="7">
        <v>0</v>
      </c>
      <c r="F94" s="7">
        <v>0</v>
      </c>
      <c r="G94" s="7">
        <v>0</v>
      </c>
      <c r="H94" s="7">
        <v>0</v>
      </c>
      <c r="I94" s="7">
        <v>0</v>
      </c>
      <c r="J94" s="7">
        <v>0</v>
      </c>
      <c r="K94" s="7">
        <v>0</v>
      </c>
      <c r="L94" s="7">
        <v>0</v>
      </c>
      <c r="M94" s="7">
        <v>0</v>
      </c>
      <c r="N94" s="7">
        <v>0</v>
      </c>
      <c r="O94" s="7">
        <v>0</v>
      </c>
      <c r="P94" s="7">
        <v>0</v>
      </c>
      <c r="Q94" s="7">
        <v>0</v>
      </c>
      <c r="R94" s="7">
        <v>0</v>
      </c>
    </row>
    <row r="95" spans="1:18" x14ac:dyDescent="0.3">
      <c r="A95" s="2"/>
      <c r="B95" s="19" t="s">
        <v>117</v>
      </c>
      <c r="C95" s="7">
        <v>0</v>
      </c>
      <c r="D95" s="7">
        <v>0</v>
      </c>
      <c r="E95" s="7">
        <v>0</v>
      </c>
      <c r="F95" s="7">
        <v>1125.69</v>
      </c>
      <c r="G95" s="7">
        <v>643.15</v>
      </c>
      <c r="H95" s="7">
        <v>0</v>
      </c>
      <c r="I95" s="7">
        <v>0</v>
      </c>
      <c r="J95" s="7">
        <v>0</v>
      </c>
      <c r="K95" s="7">
        <v>0</v>
      </c>
      <c r="L95" s="7">
        <v>0</v>
      </c>
      <c r="M95" s="7">
        <v>0</v>
      </c>
      <c r="N95" s="7">
        <v>0</v>
      </c>
      <c r="O95" s="7">
        <v>0</v>
      </c>
      <c r="P95" s="7">
        <v>0</v>
      </c>
      <c r="Q95" s="7">
        <v>0</v>
      </c>
      <c r="R95" s="7">
        <v>1768.84</v>
      </c>
    </row>
    <row r="96" spans="1:18" x14ac:dyDescent="0.3">
      <c r="A96" s="2"/>
      <c r="B96" s="19" t="s">
        <v>118</v>
      </c>
      <c r="C96" s="7">
        <v>0</v>
      </c>
      <c r="D96" s="7">
        <v>0</v>
      </c>
      <c r="E96" s="7">
        <v>0</v>
      </c>
      <c r="F96" s="7">
        <v>149.46</v>
      </c>
      <c r="G96" s="7">
        <v>0</v>
      </c>
      <c r="H96" s="7">
        <v>0</v>
      </c>
      <c r="I96" s="7">
        <v>0</v>
      </c>
      <c r="J96" s="7">
        <v>0</v>
      </c>
      <c r="K96" s="7">
        <v>0</v>
      </c>
      <c r="L96" s="7">
        <v>0</v>
      </c>
      <c r="M96" s="7">
        <v>0</v>
      </c>
      <c r="N96" s="7">
        <v>0</v>
      </c>
      <c r="O96" s="7">
        <v>0</v>
      </c>
      <c r="P96" s="7">
        <v>0</v>
      </c>
      <c r="Q96" s="7">
        <v>0</v>
      </c>
      <c r="R96" s="7">
        <v>149.46</v>
      </c>
    </row>
    <row r="97" spans="1:18" x14ac:dyDescent="0.3">
      <c r="A97" s="2"/>
      <c r="B97" s="19" t="s">
        <v>119</v>
      </c>
      <c r="C97" s="7">
        <v>299</v>
      </c>
      <c r="D97" s="7">
        <v>450</v>
      </c>
      <c r="E97" s="7">
        <v>0</v>
      </c>
      <c r="F97" s="7">
        <v>450</v>
      </c>
      <c r="G97" s="7">
        <v>199</v>
      </c>
      <c r="H97" s="7">
        <v>0</v>
      </c>
      <c r="I97" s="7">
        <v>0</v>
      </c>
      <c r="J97" s="7">
        <v>0</v>
      </c>
      <c r="K97" s="7">
        <v>0</v>
      </c>
      <c r="L97" s="7">
        <v>0</v>
      </c>
      <c r="M97" s="7">
        <v>0</v>
      </c>
      <c r="N97" s="7">
        <v>0</v>
      </c>
      <c r="O97" s="7">
        <v>0</v>
      </c>
      <c r="P97" s="7">
        <v>0</v>
      </c>
      <c r="Q97" s="7">
        <v>0</v>
      </c>
      <c r="R97" s="7">
        <v>1398</v>
      </c>
    </row>
    <row r="98" spans="1:18" x14ac:dyDescent="0.3">
      <c r="A98" s="2"/>
      <c r="B98" s="19" t="s">
        <v>120</v>
      </c>
      <c r="C98" s="7">
        <v>0</v>
      </c>
      <c r="D98" s="7">
        <v>0</v>
      </c>
      <c r="E98" s="7">
        <v>0</v>
      </c>
      <c r="F98" s="7">
        <v>14.09</v>
      </c>
      <c r="G98" s="7">
        <v>0</v>
      </c>
      <c r="H98" s="7">
        <v>0</v>
      </c>
      <c r="I98" s="7">
        <v>0</v>
      </c>
      <c r="J98" s="7">
        <v>0</v>
      </c>
      <c r="K98" s="7">
        <v>0</v>
      </c>
      <c r="L98" s="7">
        <v>0</v>
      </c>
      <c r="M98" s="7">
        <v>0</v>
      </c>
      <c r="N98" s="7">
        <v>0</v>
      </c>
      <c r="O98" s="7">
        <v>0</v>
      </c>
      <c r="P98" s="7">
        <v>0</v>
      </c>
      <c r="Q98" s="7">
        <v>0</v>
      </c>
      <c r="R98" s="7">
        <v>14.09</v>
      </c>
    </row>
    <row r="99" spans="1:18" x14ac:dyDescent="0.3">
      <c r="A99" s="2"/>
      <c r="B99" s="20" t="s">
        <v>121</v>
      </c>
      <c r="C99" s="14">
        <v>299</v>
      </c>
      <c r="D99" s="14">
        <v>450</v>
      </c>
      <c r="E99" s="14">
        <v>0</v>
      </c>
      <c r="F99" s="14">
        <v>1739.24</v>
      </c>
      <c r="G99" s="14">
        <v>842.15</v>
      </c>
      <c r="H99" s="14">
        <v>0</v>
      </c>
      <c r="I99" s="14">
        <v>0</v>
      </c>
      <c r="J99" s="14">
        <v>0</v>
      </c>
      <c r="K99" s="14">
        <v>0</v>
      </c>
      <c r="L99" s="14">
        <v>0</v>
      </c>
      <c r="M99" s="14">
        <v>0</v>
      </c>
      <c r="N99" s="14">
        <v>0</v>
      </c>
      <c r="O99" s="14">
        <v>0</v>
      </c>
      <c r="P99" s="14">
        <v>0</v>
      </c>
      <c r="Q99" s="14">
        <v>0</v>
      </c>
      <c r="R99" s="14">
        <v>3330.39</v>
      </c>
    </row>
    <row r="100" spans="1:18" x14ac:dyDescent="0.3">
      <c r="A100" s="2"/>
      <c r="B100" s="11" t="s">
        <v>122</v>
      </c>
      <c r="C100" s="7">
        <v>0</v>
      </c>
      <c r="D100" s="7">
        <v>0</v>
      </c>
      <c r="E100" s="7">
        <v>0</v>
      </c>
      <c r="F100" s="7">
        <v>0</v>
      </c>
      <c r="G100" s="7">
        <v>0</v>
      </c>
      <c r="H100" s="7">
        <v>0</v>
      </c>
      <c r="I100" s="7">
        <v>0</v>
      </c>
      <c r="J100" s="7">
        <v>0</v>
      </c>
      <c r="K100" s="7">
        <v>0</v>
      </c>
      <c r="L100" s="7">
        <v>0</v>
      </c>
      <c r="M100" s="7">
        <v>0</v>
      </c>
      <c r="N100" s="7">
        <v>0</v>
      </c>
      <c r="O100" s="7">
        <v>0</v>
      </c>
      <c r="P100" s="7">
        <v>0</v>
      </c>
      <c r="Q100" s="7">
        <v>0</v>
      </c>
      <c r="R100" s="7">
        <v>0</v>
      </c>
    </row>
    <row r="101" spans="1:18" x14ac:dyDescent="0.3">
      <c r="A101" s="2"/>
      <c r="B101" s="19" t="s">
        <v>123</v>
      </c>
      <c r="C101" s="7">
        <v>0</v>
      </c>
      <c r="D101" s="7">
        <v>0</v>
      </c>
      <c r="E101" s="7">
        <v>0</v>
      </c>
      <c r="F101" s="7">
        <v>0</v>
      </c>
      <c r="G101" s="7">
        <v>0</v>
      </c>
      <c r="H101" s="7">
        <v>0</v>
      </c>
      <c r="I101" s="7">
        <v>0</v>
      </c>
      <c r="J101" s="7">
        <v>0</v>
      </c>
      <c r="K101" s="7">
        <v>0</v>
      </c>
      <c r="L101" s="7">
        <v>0</v>
      </c>
      <c r="M101" s="7">
        <v>0</v>
      </c>
      <c r="N101" s="7">
        <v>0</v>
      </c>
      <c r="O101" s="7">
        <v>67.87</v>
      </c>
      <c r="P101" s="7">
        <v>0</v>
      </c>
      <c r="Q101" s="7">
        <v>0</v>
      </c>
      <c r="R101" s="7">
        <v>67.87</v>
      </c>
    </row>
    <row r="102" spans="1:18" x14ac:dyDescent="0.3">
      <c r="A102" s="2"/>
      <c r="B102" s="19" t="s">
        <v>124</v>
      </c>
      <c r="C102" s="7">
        <v>0</v>
      </c>
      <c r="D102" s="7">
        <v>0</v>
      </c>
      <c r="E102" s="7">
        <v>0</v>
      </c>
      <c r="F102" s="7">
        <v>0</v>
      </c>
      <c r="G102" s="7">
        <v>0</v>
      </c>
      <c r="H102" s="7">
        <v>0</v>
      </c>
      <c r="I102" s="7">
        <v>0</v>
      </c>
      <c r="J102" s="7">
        <v>540.5</v>
      </c>
      <c r="K102" s="7">
        <v>0</v>
      </c>
      <c r="L102" s="7">
        <v>0</v>
      </c>
      <c r="M102" s="7">
        <v>35</v>
      </c>
      <c r="N102" s="7">
        <v>1167</v>
      </c>
      <c r="O102" s="7">
        <v>0</v>
      </c>
      <c r="P102" s="7">
        <v>0</v>
      </c>
      <c r="Q102" s="7">
        <v>400</v>
      </c>
      <c r="R102" s="7">
        <v>2142.5</v>
      </c>
    </row>
    <row r="103" spans="1:18" x14ac:dyDescent="0.3">
      <c r="A103" s="2"/>
      <c r="B103" s="20" t="s">
        <v>125</v>
      </c>
      <c r="C103" s="14">
        <v>0</v>
      </c>
      <c r="D103" s="14">
        <v>0</v>
      </c>
      <c r="E103" s="14">
        <v>0</v>
      </c>
      <c r="F103" s="14">
        <v>0</v>
      </c>
      <c r="G103" s="14">
        <v>0</v>
      </c>
      <c r="H103" s="14">
        <v>0</v>
      </c>
      <c r="I103" s="14">
        <v>0</v>
      </c>
      <c r="J103" s="14">
        <v>540.5</v>
      </c>
      <c r="K103" s="14">
        <v>0</v>
      </c>
      <c r="L103" s="14">
        <v>0</v>
      </c>
      <c r="M103" s="14">
        <v>35</v>
      </c>
      <c r="N103" s="14">
        <v>1167</v>
      </c>
      <c r="O103" s="14">
        <v>67.87</v>
      </c>
      <c r="P103" s="14">
        <v>0</v>
      </c>
      <c r="Q103" s="14">
        <v>400</v>
      </c>
      <c r="R103" s="14">
        <v>2210.37</v>
      </c>
    </row>
    <row r="104" spans="1:18" x14ac:dyDescent="0.3">
      <c r="A104" s="2"/>
      <c r="B104" s="13" t="s">
        <v>129</v>
      </c>
      <c r="C104" s="14">
        <v>70401.97</v>
      </c>
      <c r="D104" s="14">
        <v>58495.96</v>
      </c>
      <c r="E104" s="14">
        <v>56977.46</v>
      </c>
      <c r="F104" s="14">
        <v>51331.31</v>
      </c>
      <c r="G104" s="14">
        <v>70543.990000000005</v>
      </c>
      <c r="H104" s="14">
        <v>66320.759999999995</v>
      </c>
      <c r="I104" s="14">
        <v>70523.759999999995</v>
      </c>
      <c r="J104" s="14">
        <v>76565.31</v>
      </c>
      <c r="K104" s="14">
        <v>54961.45</v>
      </c>
      <c r="L104" s="14">
        <v>66014.559999999998</v>
      </c>
      <c r="M104" s="14">
        <v>85499.11</v>
      </c>
      <c r="N104" s="14">
        <v>90566.64</v>
      </c>
      <c r="O104" s="14">
        <v>92649.94</v>
      </c>
      <c r="P104" s="14">
        <v>78456.070000000007</v>
      </c>
      <c r="Q104" s="14">
        <v>79237.240000000005</v>
      </c>
      <c r="R104" s="14">
        <v>1068545.53</v>
      </c>
    </row>
    <row r="105" spans="1:18" x14ac:dyDescent="0.3">
      <c r="A105" s="2"/>
      <c r="B105" s="15" t="s">
        <v>130</v>
      </c>
      <c r="C105" s="16">
        <v>-82869.179999999993</v>
      </c>
      <c r="D105" s="16">
        <v>32048.73</v>
      </c>
      <c r="E105" s="16">
        <v>68122.98</v>
      </c>
      <c r="F105" s="16">
        <v>4748.78</v>
      </c>
      <c r="G105" s="16">
        <v>25455.11</v>
      </c>
      <c r="H105" s="16">
        <v>37119.29</v>
      </c>
      <c r="I105" s="16">
        <v>-118862.78</v>
      </c>
      <c r="J105" s="16">
        <v>11297.06</v>
      </c>
      <c r="K105" s="16">
        <v>69136.11</v>
      </c>
      <c r="L105" s="16">
        <v>-2001.4</v>
      </c>
      <c r="M105" s="16">
        <v>88599.09</v>
      </c>
      <c r="N105" s="16">
        <v>-24685.87</v>
      </c>
      <c r="O105" s="16">
        <v>22033.5</v>
      </c>
      <c r="P105" s="16">
        <v>17228.77</v>
      </c>
      <c r="Q105" s="16">
        <v>-4488.7700000000004</v>
      </c>
      <c r="R105" s="16">
        <v>142881.42000000001</v>
      </c>
    </row>
    <row r="106" spans="1:18" x14ac:dyDescent="0.3">
      <c r="A106" s="2"/>
      <c r="B106" s="15" t="s">
        <v>12</v>
      </c>
      <c r="C106" s="16">
        <v>-82869.179999999993</v>
      </c>
      <c r="D106" s="16">
        <v>32048.73</v>
      </c>
      <c r="E106" s="16">
        <v>68122.98</v>
      </c>
      <c r="F106" s="16">
        <v>4748.78</v>
      </c>
      <c r="G106" s="16">
        <v>25455.11</v>
      </c>
      <c r="H106" s="16">
        <v>37119.29</v>
      </c>
      <c r="I106" s="16">
        <v>-118862.78</v>
      </c>
      <c r="J106" s="16">
        <v>11297.06</v>
      </c>
      <c r="K106" s="16">
        <v>69136.11</v>
      </c>
      <c r="L106" s="16">
        <v>-2001.4</v>
      </c>
      <c r="M106" s="16">
        <v>88599.09</v>
      </c>
      <c r="N106" s="16">
        <v>-24685.87</v>
      </c>
      <c r="O106" s="16">
        <v>22033.5</v>
      </c>
      <c r="P106" s="16">
        <v>17228.77</v>
      </c>
      <c r="Q106" s="16">
        <v>-4488.7700000000004</v>
      </c>
      <c r="R106" s="16">
        <v>142881.42000000001</v>
      </c>
    </row>
    <row r="107" spans="1:18" x14ac:dyDescent="0.3">
      <c r="A107" s="2"/>
      <c r="B107" s="2"/>
      <c r="C107" s="2"/>
      <c r="D107" s="2"/>
      <c r="E107" s="2"/>
      <c r="F107" s="2"/>
      <c r="G107" s="2"/>
      <c r="H107" s="2"/>
      <c r="I107" s="2"/>
      <c r="J107" s="2"/>
      <c r="K107" s="2"/>
      <c r="L107" s="2"/>
      <c r="M107" s="2"/>
      <c r="N107" s="2"/>
      <c r="O107" s="2"/>
      <c r="P107" s="2"/>
      <c r="Q107" s="2"/>
      <c r="R107" s="2"/>
    </row>
    <row r="108" spans="1:18" x14ac:dyDescent="0.3">
      <c r="A108" s="2"/>
      <c r="B108" s="2"/>
      <c r="C108" s="2"/>
      <c r="D108" s="2"/>
      <c r="E108" s="2"/>
      <c r="F108" s="2"/>
      <c r="G108" s="2"/>
      <c r="H108" s="2"/>
      <c r="I108" s="2"/>
      <c r="J108" s="2"/>
      <c r="K108" s="2"/>
      <c r="L108" s="2"/>
      <c r="M108" s="2"/>
      <c r="N108" s="2"/>
      <c r="O108" s="2"/>
      <c r="P108" s="2"/>
      <c r="Q108" s="2"/>
      <c r="R108" s="2"/>
    </row>
    <row r="109" spans="1:18" x14ac:dyDescent="0.3">
      <c r="A109" s="2"/>
      <c r="B109" s="1" t="s">
        <v>131</v>
      </c>
      <c r="C109" s="2"/>
      <c r="D109" s="2"/>
      <c r="E109" s="2"/>
      <c r="F109" s="2"/>
      <c r="G109" s="2"/>
      <c r="H109" s="2"/>
      <c r="I109" s="2"/>
      <c r="J109" s="2"/>
      <c r="K109" s="2"/>
      <c r="L109" s="2"/>
      <c r="M109" s="2"/>
      <c r="N109" s="2"/>
      <c r="O109" s="2"/>
      <c r="P109" s="2"/>
      <c r="Q109" s="2"/>
      <c r="R109" s="2"/>
    </row>
    <row r="110" spans="1:18" x14ac:dyDescent="0.3">
      <c r="A110" s="2"/>
      <c r="B110" s="21" t="s">
        <v>132</v>
      </c>
      <c r="C110" s="22">
        <f t="shared" ref="C110:Q110" si="1">C106</f>
        <v>-82869.179999999993</v>
      </c>
      <c r="D110" s="22">
        <f t="shared" si="1"/>
        <v>32048.73</v>
      </c>
      <c r="E110" s="22">
        <f t="shared" si="1"/>
        <v>68122.98</v>
      </c>
      <c r="F110" s="22">
        <f t="shared" si="1"/>
        <v>4748.78</v>
      </c>
      <c r="G110" s="22">
        <f t="shared" si="1"/>
        <v>25455.11</v>
      </c>
      <c r="H110" s="22">
        <f t="shared" si="1"/>
        <v>37119.29</v>
      </c>
      <c r="I110" s="22">
        <f t="shared" si="1"/>
        <v>-118862.78</v>
      </c>
      <c r="J110" s="22">
        <f t="shared" si="1"/>
        <v>11297.06</v>
      </c>
      <c r="K110" s="22">
        <f t="shared" si="1"/>
        <v>69136.11</v>
      </c>
      <c r="L110" s="22">
        <f t="shared" si="1"/>
        <v>-2001.4</v>
      </c>
      <c r="M110" s="22">
        <f t="shared" si="1"/>
        <v>88599.09</v>
      </c>
      <c r="N110" s="22">
        <f t="shared" si="1"/>
        <v>-24685.87</v>
      </c>
      <c r="O110" s="22">
        <f t="shared" si="1"/>
        <v>22033.5</v>
      </c>
      <c r="P110" s="22">
        <f t="shared" si="1"/>
        <v>17228.77</v>
      </c>
      <c r="Q110" s="22">
        <f t="shared" si="1"/>
        <v>-4488.7700000000004</v>
      </c>
      <c r="R110" s="2"/>
    </row>
    <row r="111" spans="1:18" x14ac:dyDescent="0.3">
      <c r="A111" s="2"/>
      <c r="B111" s="23" t="s">
        <v>133</v>
      </c>
      <c r="C111" s="135">
        <f>(SUMIFS('IS GL Summary'!$F:$F,'IS GL Summary'!$B:$B,DATE(2025,1,31),'IS GL Summary'!$D:$D,"Income")+SUMIFS('IS GL Summary'!$F:$F,'IS GL Summary'!$B:$B,DATE(2025,1,31),'IS GL Summary'!$D:$D,"Other Income"))-(SUMIFS('IS GL Summary'!$F:$F,'IS GL Summary'!$B:$B,DATE(2025,1,31),'IS GL Summary'!$D:$D,"Expense")+SUMIFS('IS GL Summary'!$F:$F,'IS GL Summary'!$B:$B,DATE(2025,1,31),'IS GL Summary'!$D:$D,"Cost of Goods Sold")+SUMIFS('IS GL Summary'!$F:$F,'IS GL Summary'!$B:$B,DATE(2025,1,31),'IS GL Summary'!$D:$D,"Other Expense"))</f>
        <v>-82869.180000000022</v>
      </c>
      <c r="D111" s="135">
        <f>(SUMIFS('IS GL Summary'!$F:$F,'IS GL Summary'!$B:$B,DATE(2025,2,28),'IS GL Summary'!$D:$D,"Income")+SUMIFS('IS GL Summary'!$F:$F,'IS GL Summary'!$B:$B,DATE(2025,2,28),'IS GL Summary'!$D:$D,"Other Income"))-(SUMIFS('IS GL Summary'!$F:$F,'IS GL Summary'!$B:$B,DATE(2025,2,28),'IS GL Summary'!$D:$D,"Expense")+SUMIFS('IS GL Summary'!$F:$F,'IS GL Summary'!$B:$B,DATE(2025,2,28),'IS GL Summary'!$D:$D,"Cost of Goods Sold")+SUMIFS('IS GL Summary'!$F:$F,'IS GL Summary'!$B:$B,DATE(2025,2,28),'IS GL Summary'!$D:$D,"Other Expense"))</f>
        <v>32048.729999999981</v>
      </c>
      <c r="E111" s="135">
        <f>(SUMIFS('IS GL Summary'!$F:$F,'IS GL Summary'!$B:$B,DATE(2025,3,31),'IS GL Summary'!$D:$D,"Income")+SUMIFS('IS GL Summary'!$F:$F,'IS GL Summary'!$B:$B,DATE(2025,3,31),'IS GL Summary'!$D:$D,"Other Income"))-(SUMIFS('IS GL Summary'!$F:$F,'IS GL Summary'!$B:$B,DATE(2025,3,31),'IS GL Summary'!$D:$D,"Expense")+SUMIFS('IS GL Summary'!$F:$F,'IS GL Summary'!$B:$B,DATE(2025,3,31),'IS GL Summary'!$D:$D,"Cost of Goods Sold")+SUMIFS('IS GL Summary'!$F:$F,'IS GL Summary'!$B:$B,DATE(2025,3,31),'IS GL Summary'!$D:$D,"Other Expense"))</f>
        <v>68122.98000000001</v>
      </c>
      <c r="F111" s="135">
        <f>(SUMIFS('IS GL Summary'!$F:$F,'IS GL Summary'!$B:$B,DATE(2025,4,30),'IS GL Summary'!$D:$D,"Income")+SUMIFS('IS GL Summary'!$F:$F,'IS GL Summary'!$B:$B,DATE(2025,4,30),'IS GL Summary'!$D:$D,"Other Income"))-(SUMIFS('IS GL Summary'!$F:$F,'IS GL Summary'!$B:$B,DATE(2025,4,30),'IS GL Summary'!$D:$D,"Expense")+SUMIFS('IS GL Summary'!$F:$F,'IS GL Summary'!$B:$B,DATE(2025,4,30),'IS GL Summary'!$D:$D,"Cost of Goods Sold")+SUMIFS('IS GL Summary'!$F:$F,'IS GL Summary'!$B:$B,DATE(2025,4,30),'IS GL Summary'!$D:$D,"Other Expense"))</f>
        <v>4748.7800000000279</v>
      </c>
      <c r="G111" s="135">
        <f>(SUMIFS('IS GL Summary'!$F:$F,'IS GL Summary'!$B:$B,DATE(2025,5,31),'IS GL Summary'!$D:$D,"Income")+SUMIFS('IS GL Summary'!$F:$F,'IS GL Summary'!$B:$B,DATE(2025,5,31),'IS GL Summary'!$D:$D,"Other Income"))-(SUMIFS('IS GL Summary'!$F:$F,'IS GL Summary'!$B:$B,DATE(2025,5,31),'IS GL Summary'!$D:$D,"Expense")+SUMIFS('IS GL Summary'!$F:$F,'IS GL Summary'!$B:$B,DATE(2025,5,31),'IS GL Summary'!$D:$D,"Cost of Goods Sold")+SUMIFS('IS GL Summary'!$F:$F,'IS GL Summary'!$B:$B,DATE(2025,5,31),'IS GL Summary'!$D:$D,"Other Expense"))</f>
        <v>25455.110000000015</v>
      </c>
      <c r="H111" s="135">
        <f>(SUMIFS('IS GL Summary'!$F:$F,'IS GL Summary'!$B:$B,DATE(2025,6,30),'IS GL Summary'!$D:$D,"Income")+SUMIFS('IS GL Summary'!$F:$F,'IS GL Summary'!$B:$B,DATE(2025,6,30),'IS GL Summary'!$D:$D,"Other Income"))-(SUMIFS('IS GL Summary'!$F:$F,'IS GL Summary'!$B:$B,DATE(2025,6,30),'IS GL Summary'!$D:$D,"Expense")+SUMIFS('IS GL Summary'!$F:$F,'IS GL Summary'!$B:$B,DATE(2025,6,30),'IS GL Summary'!$D:$D,"Cost of Goods Sold")+SUMIFS('IS GL Summary'!$F:$F,'IS GL Summary'!$B:$B,DATE(2025,6,30),'IS GL Summary'!$D:$D,"Other Expense"))</f>
        <v>37119.290000000037</v>
      </c>
      <c r="I111" s="135">
        <f>(SUMIFS('IS GL Summary'!$F:$F,'IS GL Summary'!$B:$B,DATE(2025,7,31),'IS GL Summary'!$D:$D,"Income")+SUMIFS('IS GL Summary'!$F:$F,'IS GL Summary'!$B:$B,DATE(2025,7,31),'IS GL Summary'!$D:$D,"Other Income"))-(SUMIFS('IS GL Summary'!$F:$F,'IS GL Summary'!$B:$B,DATE(2025,7,31),'IS GL Summary'!$D:$D,"Expense")+SUMIFS('IS GL Summary'!$F:$F,'IS GL Summary'!$B:$B,DATE(2025,7,31),'IS GL Summary'!$D:$D,"Cost of Goods Sold")+SUMIFS('IS GL Summary'!$F:$F,'IS GL Summary'!$B:$B,DATE(2025,7,31),'IS GL Summary'!$D:$D,"Other Expense"))</f>
        <v>-118862.78</v>
      </c>
      <c r="J111" s="135">
        <f>(SUMIFS('IS GL Summary'!$F:$F,'IS GL Summary'!$B:$B,DATE(2025,8,31),'IS GL Summary'!$D:$D,"Income")+SUMIFS('IS GL Summary'!$F:$F,'IS GL Summary'!$B:$B,DATE(2025,8,31),'IS GL Summary'!$D:$D,"Other Income"))-(SUMIFS('IS GL Summary'!$F:$F,'IS GL Summary'!$B:$B,DATE(2025,8,31),'IS GL Summary'!$D:$D,"Expense")+SUMIFS('IS GL Summary'!$F:$F,'IS GL Summary'!$B:$B,DATE(2025,8,31),'IS GL Summary'!$D:$D,"Cost of Goods Sold")+SUMIFS('IS GL Summary'!$F:$F,'IS GL Summary'!$B:$B,DATE(2025,8,31),'IS GL Summary'!$D:$D,"Other Expense"))</f>
        <v>11297.060000000056</v>
      </c>
      <c r="K111" s="135">
        <f>(SUMIFS('IS GL Summary'!$F:$F,'IS GL Summary'!$B:$B,DATE(2025,9,30),'IS GL Summary'!$D:$D,"Income")+SUMIFS('IS GL Summary'!$F:$F,'IS GL Summary'!$B:$B,DATE(2025,9,30),'IS GL Summary'!$D:$D,"Other Income"))-(SUMIFS('IS GL Summary'!$F:$F,'IS GL Summary'!$B:$B,DATE(2025,9,30),'IS GL Summary'!$D:$D,"Expense")+SUMIFS('IS GL Summary'!$F:$F,'IS GL Summary'!$B:$B,DATE(2025,9,30),'IS GL Summary'!$D:$D,"Cost of Goods Sold")+SUMIFS('IS GL Summary'!$F:$F,'IS GL Summary'!$B:$B,DATE(2025,9,30),'IS GL Summary'!$D:$D,"Other Expense"))</f>
        <v>69136.110000000015</v>
      </c>
      <c r="L111" s="135">
        <f>(SUMIFS('IS GL Summary'!$F:$F,'IS GL Summary'!$B:$B,DATE(2025,10,31),'IS GL Summary'!$D:$D,"Income")+SUMIFS('IS GL Summary'!$F:$F,'IS GL Summary'!$B:$B,DATE(2025,10,31),'IS GL Summary'!$D:$D,"Other Income"))-(SUMIFS('IS GL Summary'!$F:$F,'IS GL Summary'!$B:$B,DATE(2025,10,31),'IS GL Summary'!$D:$D,"Expense")+SUMIFS('IS GL Summary'!$F:$F,'IS GL Summary'!$B:$B,DATE(2025,10,31),'IS GL Summary'!$D:$D,"Cost of Goods Sold")+SUMIFS('IS GL Summary'!$F:$F,'IS GL Summary'!$B:$B,DATE(2025,10,31),'IS GL Summary'!$D:$D,"Other Expense"))</f>
        <v>-2001.3999999999942</v>
      </c>
      <c r="M111" s="135">
        <f>(SUMIFS('IS GL Summary'!$F:$F,'IS GL Summary'!$B:$B,DATE(2025,11,30),'IS GL Summary'!$D:$D,"Income")+SUMIFS('IS GL Summary'!$F:$F,'IS GL Summary'!$B:$B,DATE(2025,11,30),'IS GL Summary'!$D:$D,"Other Income"))-(SUMIFS('IS GL Summary'!$F:$F,'IS GL Summary'!$B:$B,DATE(2025,11,30),'IS GL Summary'!$D:$D,"Expense")+SUMIFS('IS GL Summary'!$F:$F,'IS GL Summary'!$B:$B,DATE(2025,11,30),'IS GL Summary'!$D:$D,"Cost of Goods Sold")+SUMIFS('IS GL Summary'!$F:$F,'IS GL Summary'!$B:$B,DATE(2025,11,30),'IS GL Summary'!$D:$D,"Other Expense"))</f>
        <v>88599.089999999967</v>
      </c>
      <c r="N111" s="135">
        <f>(SUMIFS('IS GL Summary'!$F:$F,'IS GL Summary'!$B:$B,DATE(2025,12,31),'IS GL Summary'!$D:$D,"Income")+SUMIFS('IS GL Summary'!$F:$F,'IS GL Summary'!$B:$B,DATE(2025,12,31),'IS GL Summary'!$D:$D,"Other Income"))-(SUMIFS('IS GL Summary'!$F:$F,'IS GL Summary'!$B:$B,DATE(2025,12,31),'IS GL Summary'!$D:$D,"Expense")+SUMIFS('IS GL Summary'!$F:$F,'IS GL Summary'!$B:$B,DATE(2025,12,31),'IS GL Summary'!$D:$D,"Cost of Goods Sold")+SUMIFS('IS GL Summary'!$F:$F,'IS GL Summary'!$B:$B,DATE(2025,12,31),'IS GL Summary'!$D:$D,"Other Expense"))</f>
        <v>-24685.870000000024</v>
      </c>
      <c r="O111" s="135">
        <f>(SUMIFS('IS GL Summary'!$F:$F,'IS GL Summary'!$B:$B,DATE(2026,1,31),'IS GL Summary'!$D:$D,"Income")+SUMIFS('IS GL Summary'!$F:$F,'IS GL Summary'!$B:$B,DATE(2026,1,31),'IS GL Summary'!$D:$D,"Other Income"))-(SUMIFS('IS GL Summary'!$F:$F,'IS GL Summary'!$B:$B,DATE(2026,1,31),'IS GL Summary'!$D:$D,"Expense")+SUMIFS('IS GL Summary'!$F:$F,'IS GL Summary'!$B:$B,DATE(2026,1,31),'IS GL Summary'!$D:$D,"Cost of Goods Sold")+SUMIFS('IS GL Summary'!$F:$F,'IS GL Summary'!$B:$B,DATE(2026,1,31),'IS GL Summary'!$D:$D,"Other Expense"))</f>
        <v>22033.500000000029</v>
      </c>
      <c r="P111" s="135">
        <f>(SUMIFS('IS GL Summary'!$F:$F,'IS GL Summary'!$B:$B,DATE(2026,2,28),'IS GL Summary'!$D:$D,"Income")+SUMIFS('IS GL Summary'!$F:$F,'IS GL Summary'!$B:$B,DATE(2026,2,28),'IS GL Summary'!$D:$D,"Other Income"))-(SUMIFS('IS GL Summary'!$F:$F,'IS GL Summary'!$B:$B,DATE(2026,2,28),'IS GL Summary'!$D:$D,"Expense")+SUMIFS('IS GL Summary'!$F:$F,'IS GL Summary'!$B:$B,DATE(2026,2,28),'IS GL Summary'!$D:$D,"Cost of Goods Sold")+SUMIFS('IS GL Summary'!$F:$F,'IS GL Summary'!$B:$B,DATE(2026,2,28),'IS GL Summary'!$D:$D,"Other Expense"))</f>
        <v>17228.770000000019</v>
      </c>
      <c r="Q111" s="135">
        <f>(SUMIFS('IS GL Summary'!$F:$F,'IS GL Summary'!$B:$B,DATE(2026,3,31),'IS GL Summary'!$D:$D,"Income")+SUMIFS('IS GL Summary'!$F:$F,'IS GL Summary'!$B:$B,DATE(2026,3,31),'IS GL Summary'!$D:$D,"Other Income"))-(SUMIFS('IS GL Summary'!$F:$F,'IS GL Summary'!$B:$B,DATE(2026,3,31),'IS GL Summary'!$D:$D,"Expense")+SUMIFS('IS GL Summary'!$F:$F,'IS GL Summary'!$B:$B,DATE(2026,3,31),'IS GL Summary'!$D:$D,"Cost of Goods Sold")+SUMIFS('IS GL Summary'!$F:$F,'IS GL Summary'!$B:$B,DATE(2026,3,31),'IS GL Summary'!$D:$D,"Other Expense"))</f>
        <v>-4488.7699999999895</v>
      </c>
      <c r="R111" s="2"/>
    </row>
    <row r="112" spans="1:18" x14ac:dyDescent="0.3">
      <c r="A112" s="2"/>
      <c r="B112" s="23" t="s">
        <v>134</v>
      </c>
      <c r="C112" s="22">
        <f t="shared" ref="C112:Q112" si="2">C110-C111</f>
        <v>0</v>
      </c>
      <c r="D112" s="22">
        <f t="shared" si="2"/>
        <v>0</v>
      </c>
      <c r="E112" s="22">
        <f t="shared" si="2"/>
        <v>0</v>
      </c>
      <c r="F112" s="22">
        <f t="shared" si="2"/>
        <v>-2.8194335754960775E-11</v>
      </c>
      <c r="G112" s="22">
        <f t="shared" si="2"/>
        <v>0</v>
      </c>
      <c r="H112" s="22">
        <f t="shared" si="2"/>
        <v>0</v>
      </c>
      <c r="I112" s="22">
        <f t="shared" si="2"/>
        <v>0</v>
      </c>
      <c r="J112" s="22">
        <f t="shared" si="2"/>
        <v>-5.6388671509921551E-11</v>
      </c>
      <c r="K112" s="22">
        <f t="shared" si="2"/>
        <v>0</v>
      </c>
      <c r="L112" s="22">
        <f t="shared" si="2"/>
        <v>-5.9117155615240335E-12</v>
      </c>
      <c r="M112" s="22">
        <f t="shared" si="2"/>
        <v>0</v>
      </c>
      <c r="N112" s="22">
        <f t="shared" si="2"/>
        <v>0</v>
      </c>
      <c r="O112" s="22">
        <f t="shared" si="2"/>
        <v>-2.9103830456733704E-11</v>
      </c>
      <c r="P112" s="22">
        <f t="shared" si="2"/>
        <v>0</v>
      </c>
      <c r="Q112" s="22">
        <f t="shared" si="2"/>
        <v>-1.0913936421275139E-11</v>
      </c>
      <c r="R112" s="2"/>
    </row>
  </sheetData>
  <conditionalFormatting sqref="C112:Q112">
    <cfRule type="cellIs" dxfId="29" priority="1" operator="notEqual">
      <formula>0</formula>
    </cfRule>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vt:i4>
      </vt:variant>
    </vt:vector>
  </HeadingPairs>
  <TitlesOfParts>
    <vt:vector size="27" baseType="lpstr">
      <vt:lpstr>Summary</vt:lpstr>
      <vt:lpstr>&lt;FREE DASHBOARDS&gt;</vt:lpstr>
      <vt:lpstr>Month-end Dashboard</vt:lpstr>
      <vt:lpstr>Dashboard by Class</vt:lpstr>
      <vt:lpstr>Trending P&amp;L</vt:lpstr>
      <vt:lpstr>P&amp;L by Class</vt:lpstr>
      <vt:lpstr>Trending Balance Sheet</vt:lpstr>
      <vt:lpstr>QBO Reports</vt:lpstr>
      <vt:lpstr>P&amp;L</vt:lpstr>
      <vt:lpstr>Balance Sheet</vt:lpstr>
      <vt:lpstr>AR Aging</vt:lpstr>
      <vt:lpstr>AP Aging</vt:lpstr>
      <vt:lpstr>Mapped Reports</vt:lpstr>
      <vt:lpstr>Acorn Inc. Map 1 P&amp;L</vt:lpstr>
      <vt:lpstr>Acorn Inc. Map 1 BS</vt:lpstr>
      <vt:lpstr>Flat Files</vt:lpstr>
      <vt:lpstr>IS GL Summary</vt:lpstr>
      <vt:lpstr>BS GL Summary</vt:lpstr>
      <vt:lpstr>BS Balances</vt:lpstr>
      <vt:lpstr>IS GL Detail</vt:lpstr>
      <vt:lpstr>BS GL Detail</vt:lpstr>
      <vt:lpstr>Data Validation</vt:lpstr>
      <vt:lpstr>GL Summary Validation</vt:lpstr>
      <vt:lpstr>Acorn Map 1 Validation</vt:lpstr>
      <vt:lpstr>Mapping Reference</vt:lpstr>
      <vt:lpstr>Date Mapping</vt:lpstr>
      <vt:lpstr>'P&amp;L by Class'!Start_Date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Chris Matheson</cp:lastModifiedBy>
  <dcterms:created xsi:type="dcterms:W3CDTF">2026-04-20T16:17:37Z</dcterms:created>
  <dcterms:modified xsi:type="dcterms:W3CDTF">2026-04-21T01:26:47Z</dcterms:modified>
</cp:coreProperties>
</file>